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07569894d39513/001_個人財務顧問服務專案/20221010_FPAT理財規劃模板/"/>
    </mc:Choice>
  </mc:AlternateContent>
  <xr:revisionPtr revIDLastSave="8246" documentId="8_{7764708D-D2E3-4AE5-A0A5-E7422008B1A8}" xr6:coauthVersionLast="47" xr6:coauthVersionMax="47" xr10:uidLastSave="{E2F6741A-6851-46FF-B174-7AE1FB2BDC10}"/>
  <bookViews>
    <workbookView xWindow="-108" yWindow="-108" windowWidth="23256" windowHeight="12576" tabRatio="868" xr2:uid="{762EEBCE-C877-4367-98E5-BA11BF9622EF}"/>
  </bookViews>
  <sheets>
    <sheet name="1.收支表" sheetId="2" r:id="rId1"/>
    <sheet name="2.資產負債表" sheetId="3" r:id="rId2"/>
    <sheet name="3.財務比例" sheetId="1" r:id="rId3"/>
    <sheet name="4.理財目標" sheetId="5" r:id="rId4"/>
    <sheet name="5.保險需求分析" sheetId="6" r:id="rId5"/>
    <sheet name="6.資產配置" sheetId="7" r:id="rId6"/>
    <sheet name="7.理財目標試算規劃" sheetId="14" r:id="rId7"/>
    <sheet name="子女教育試算" sheetId="8" r:id="rId8"/>
    <sheet name="購換屋試算" sheetId="13" r:id="rId9"/>
    <sheet name="財務計算器" sheetId="15" r:id="rId10"/>
    <sheet name="退休試算" sheetId="16" r:id="rId11"/>
  </sheets>
  <definedNames>
    <definedName name="_xlnm.Print_Area" localSheetId="2">'3.財務比例'!$A$1:$H$47</definedName>
    <definedName name="幼兒園">子女教育試算!$K$4:$K$5</definedName>
    <definedName name="安親班">子女教育試算!$K$6:$K$7</definedName>
    <definedName name="原始理財目標">OFFSET('4.理財目標'!$A$4,,,COUNTA('4.理財目標'!$A$4:$A$9),1)</definedName>
    <definedName name="高中">子女教育試算!$K$12:$K$13</definedName>
    <definedName name="國小">子女教育試算!$K$8:$K$9</definedName>
    <definedName name="國中">子女教育試算!$K$10:$K$11</definedName>
    <definedName name="國內大學">子女教育試算!$K$20:$K$21</definedName>
    <definedName name="國內研究所">子女教育試算!$K$24:$K$25</definedName>
    <definedName name="國外大學">子女教育試算!$K$22:$K$23</definedName>
    <definedName name="國外研究所">子女教育試算!$K$26:$K$27</definedName>
    <definedName name="實現年齡">OFFSET('4.理財目標'!$C$4,,,COUNTA('4.理財目標'!$C$4:$C$9),1)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O8" i="3"/>
  <c r="D29" i="16"/>
  <c r="D9" i="16" l="1"/>
  <c r="B146" i="6"/>
  <c r="E140" i="6"/>
  <c r="G134" i="6"/>
  <c r="G133" i="6"/>
  <c r="G132" i="6"/>
  <c r="G131" i="6"/>
  <c r="G130" i="6"/>
  <c r="G129" i="6"/>
  <c r="G128" i="6"/>
  <c r="G127" i="6"/>
  <c r="B135" i="6" s="1"/>
  <c r="B104" i="6"/>
  <c r="E98" i="6"/>
  <c r="G92" i="6"/>
  <c r="G91" i="6"/>
  <c r="G90" i="6"/>
  <c r="G89" i="6"/>
  <c r="G88" i="6"/>
  <c r="G87" i="6"/>
  <c r="G86" i="6"/>
  <c r="G85" i="6"/>
  <c r="K5" i="5"/>
  <c r="K6" i="5"/>
  <c r="K7" i="5"/>
  <c r="K8" i="5"/>
  <c r="K9" i="5"/>
  <c r="K4" i="5"/>
  <c r="B147" i="6" l="1"/>
  <c r="F140" i="6"/>
  <c r="B93" i="6"/>
  <c r="F98" i="6" s="1"/>
  <c r="B105" i="6"/>
  <c r="D29" i="13" l="1"/>
  <c r="D28" i="13" s="1"/>
  <c r="C29" i="13"/>
  <c r="C28" i="13" s="1"/>
  <c r="K93" i="7"/>
  <c r="C93" i="7"/>
  <c r="K48" i="7"/>
  <c r="C48" i="7"/>
  <c r="D36" i="13"/>
  <c r="D39" i="13" s="1"/>
  <c r="C36" i="13"/>
  <c r="C39" i="13" s="1"/>
  <c r="E22" i="5"/>
  <c r="E21" i="5"/>
  <c r="E20" i="5"/>
  <c r="E19" i="5"/>
  <c r="E18" i="5"/>
  <c r="E17" i="5"/>
  <c r="D22" i="5"/>
  <c r="D21" i="5"/>
  <c r="D20" i="5"/>
  <c r="D19" i="5"/>
  <c r="D18" i="5"/>
  <c r="D17" i="5"/>
  <c r="C22" i="5"/>
  <c r="C21" i="5"/>
  <c r="C20" i="5"/>
  <c r="C19" i="5"/>
  <c r="C18" i="5"/>
  <c r="C17" i="5"/>
  <c r="B22" i="5"/>
  <c r="B21" i="5"/>
  <c r="B20" i="5"/>
  <c r="B19" i="5"/>
  <c r="B18" i="5"/>
  <c r="B17" i="5"/>
  <c r="I18" i="5"/>
  <c r="I19" i="5" s="1"/>
  <c r="I20" i="5" s="1"/>
  <c r="I21" i="5" s="1"/>
  <c r="I22" i="5" s="1"/>
  <c r="F7" i="5"/>
  <c r="G19" i="5" s="1"/>
  <c r="F8" i="5"/>
  <c r="G18" i="5" s="1"/>
  <c r="F9" i="5"/>
  <c r="F17" i="5" s="1"/>
  <c r="F18" i="5" l="1"/>
  <c r="F19" i="5"/>
  <c r="G17" i="5"/>
  <c r="K4" i="7" l="1"/>
  <c r="T29" i="8" l="1"/>
  <c r="T30" i="8"/>
  <c r="F25" i="8" s="1"/>
  <c r="T31" i="8"/>
  <c r="T28" i="8"/>
  <c r="O11" i="8"/>
  <c r="E25" i="8" s="1"/>
  <c r="O10" i="8"/>
  <c r="O9" i="8"/>
  <c r="O8" i="8"/>
  <c r="E24" i="8" s="1"/>
  <c r="O7" i="8"/>
  <c r="E23" i="8" s="1"/>
  <c r="O6" i="8"/>
  <c r="E22" i="8" s="1"/>
  <c r="O5" i="8"/>
  <c r="E21" i="8" s="1"/>
  <c r="O4" i="8"/>
  <c r="E20" i="8" s="1"/>
  <c r="T21" i="8"/>
  <c r="T22" i="8"/>
  <c r="T23" i="8"/>
  <c r="T24" i="8"/>
  <c r="T25" i="8"/>
  <c r="T26" i="8"/>
  <c r="T27" i="8"/>
  <c r="T20" i="8"/>
  <c r="F24" i="8" s="1"/>
  <c r="T18" i="8"/>
  <c r="T19" i="8"/>
  <c r="T17" i="8"/>
  <c r="F23" i="8" s="1"/>
  <c r="T15" i="8"/>
  <c r="T16" i="8"/>
  <c r="T14" i="8"/>
  <c r="F22" i="8" s="1"/>
  <c r="T8" i="8"/>
  <c r="T9" i="8"/>
  <c r="T10" i="8"/>
  <c r="T11" i="8"/>
  <c r="T12" i="8"/>
  <c r="T13" i="8"/>
  <c r="T7" i="8"/>
  <c r="F21" i="8" s="1"/>
  <c r="T5" i="8"/>
  <c r="T6" i="8"/>
  <c r="T4" i="8"/>
  <c r="F20" i="8" s="1"/>
  <c r="H25" i="8" l="1"/>
  <c r="F25" i="2"/>
  <c r="H4" i="3" l="1"/>
  <c r="H20" i="3"/>
  <c r="H35" i="3"/>
  <c r="H27" i="3"/>
  <c r="K12" i="3"/>
  <c r="H123" i="14"/>
  <c r="F123" i="14"/>
  <c r="D123" i="14"/>
  <c r="H97" i="14"/>
  <c r="F97" i="14"/>
  <c r="D97" i="14"/>
  <c r="H71" i="14"/>
  <c r="F71" i="14"/>
  <c r="D71" i="14"/>
  <c r="D70" i="14"/>
  <c r="D74" i="14" l="1"/>
  <c r="F56" i="14" s="1"/>
  <c r="F70" i="14" s="1"/>
  <c r="F74" i="14" s="1"/>
  <c r="H56" i="14" s="1"/>
  <c r="H70" i="14" s="1"/>
  <c r="H74" i="14" s="1"/>
  <c r="D82" i="14" s="1"/>
  <c r="D96" i="14" s="1"/>
  <c r="D100" i="14" s="1"/>
  <c r="F82" i="14" l="1"/>
  <c r="F96" i="14" s="1"/>
  <c r="F100" i="14" s="1"/>
  <c r="H82" i="14" s="1"/>
  <c r="H96" i="14" s="1"/>
  <c r="H100" i="14" s="1"/>
  <c r="D108" i="14" s="1"/>
  <c r="D122" i="14" s="1"/>
  <c r="D126" i="14" s="1"/>
  <c r="F108" i="14" s="1"/>
  <c r="F122" i="14" s="1"/>
  <c r="F126" i="14" s="1"/>
  <c r="H108" i="14" s="1"/>
  <c r="H122" i="14" s="1"/>
  <c r="H126" i="14" s="1"/>
  <c r="S4" i="8" l="1"/>
  <c r="F4" i="8" s="1"/>
  <c r="N4" i="8"/>
  <c r="E4" i="8" s="1"/>
  <c r="N11" i="8"/>
  <c r="N10" i="8"/>
  <c r="E9" i="8" s="1"/>
  <c r="N9" i="8"/>
  <c r="N8" i="8"/>
  <c r="E8" i="8" s="1"/>
  <c r="N7" i="8"/>
  <c r="E7" i="8" s="1"/>
  <c r="N6" i="8"/>
  <c r="E6" i="8" s="1"/>
  <c r="N5" i="8"/>
  <c r="E5" i="8" s="1"/>
  <c r="S29" i="8"/>
  <c r="S30" i="8"/>
  <c r="S31" i="8"/>
  <c r="S28" i="8"/>
  <c r="F9" i="8" s="1"/>
  <c r="S24" i="8"/>
  <c r="S25" i="8"/>
  <c r="S26" i="8"/>
  <c r="S27" i="8"/>
  <c r="S21" i="8"/>
  <c r="S22" i="8"/>
  <c r="S23" i="8"/>
  <c r="S20" i="8"/>
  <c r="F8" i="8" s="1"/>
  <c r="S18" i="8"/>
  <c r="S19" i="8"/>
  <c r="S17" i="8"/>
  <c r="F7" i="8" s="1"/>
  <c r="S15" i="8"/>
  <c r="S16" i="8"/>
  <c r="S14" i="8"/>
  <c r="F6" i="8" s="1"/>
  <c r="S8" i="8"/>
  <c r="S9" i="8"/>
  <c r="S10" i="8"/>
  <c r="S11" i="8"/>
  <c r="S12" i="8"/>
  <c r="S13" i="8"/>
  <c r="S7" i="8"/>
  <c r="F5" i="8" s="1"/>
  <c r="S5" i="8"/>
  <c r="S6" i="8"/>
  <c r="H20" i="8" l="1"/>
  <c r="H9" i="8"/>
  <c r="H24" i="8"/>
  <c r="H23" i="8"/>
  <c r="H21" i="8"/>
  <c r="H5" i="8" l="1"/>
  <c r="H8" i="8"/>
  <c r="H6" i="8"/>
  <c r="H22" i="8"/>
  <c r="H18" i="8" s="1"/>
  <c r="H7" i="8"/>
  <c r="H4" i="8"/>
  <c r="H2" i="8" l="1"/>
  <c r="C4" i="7"/>
  <c r="H22" i="5"/>
  <c r="H21" i="5"/>
  <c r="H20" i="5"/>
  <c r="H19" i="5"/>
  <c r="H18" i="5"/>
  <c r="F6" i="5"/>
  <c r="F5" i="5"/>
  <c r="F4" i="5"/>
  <c r="H12" i="14"/>
  <c r="G12" i="14"/>
  <c r="F12" i="14"/>
  <c r="E12" i="14"/>
  <c r="D12" i="14"/>
  <c r="C12" i="14"/>
  <c r="B1" i="14"/>
  <c r="H3" i="14"/>
  <c r="G3" i="14"/>
  <c r="F3" i="14"/>
  <c r="E3" i="14"/>
  <c r="D3" i="14"/>
  <c r="C3" i="14"/>
  <c r="G22" i="5" l="1"/>
  <c r="F22" i="5"/>
  <c r="G21" i="5"/>
  <c r="F21" i="5"/>
  <c r="G20" i="5"/>
  <c r="F20" i="5"/>
  <c r="L102" i="7"/>
  <c r="L100" i="7"/>
  <c r="L98" i="7"/>
  <c r="L96" i="7"/>
  <c r="L99" i="7"/>
  <c r="D99" i="7"/>
  <c r="D102" i="7"/>
  <c r="D100" i="7"/>
  <c r="D98" i="7"/>
  <c r="D96" i="7"/>
  <c r="L101" i="7"/>
  <c r="L97" i="7"/>
  <c r="D101" i="7"/>
  <c r="D97" i="7"/>
  <c r="L57" i="7"/>
  <c r="L55" i="7"/>
  <c r="L53" i="7"/>
  <c r="L51" i="7"/>
  <c r="D57" i="7"/>
  <c r="D55" i="7"/>
  <c r="D53" i="7"/>
  <c r="D51" i="7"/>
  <c r="L56" i="7"/>
  <c r="L54" i="7"/>
  <c r="L52" i="7"/>
  <c r="D56" i="7"/>
  <c r="D54" i="7"/>
  <c r="D52" i="7"/>
  <c r="L13" i="7"/>
  <c r="L9" i="7"/>
  <c r="L12" i="7"/>
  <c r="L8" i="7"/>
  <c r="L11" i="7"/>
  <c r="L7" i="7"/>
  <c r="L10" i="7"/>
  <c r="F6" i="14"/>
  <c r="F15" i="14" s="1"/>
  <c r="F16" i="14" s="1"/>
  <c r="D8" i="7"/>
  <c r="D26" i="14"/>
  <c r="D27" i="14" s="1"/>
  <c r="D28" i="14" s="1"/>
  <c r="D29" i="14" s="1"/>
  <c r="D30" i="14" s="1"/>
  <c r="D31" i="14" s="1"/>
  <c r="D6" i="14"/>
  <c r="D14" i="14" s="1"/>
  <c r="C6" i="14"/>
  <c r="C14" i="14" s="1"/>
  <c r="G6" i="14"/>
  <c r="G14" i="14" s="1"/>
  <c r="H6" i="14"/>
  <c r="H15" i="14" s="1"/>
  <c r="H16" i="14" s="1"/>
  <c r="D13" i="7"/>
  <c r="D11" i="7"/>
  <c r="D10" i="7"/>
  <c r="D7" i="7"/>
  <c r="D9" i="7"/>
  <c r="D12" i="7"/>
  <c r="E6" i="14"/>
  <c r="E14" i="14" s="1"/>
  <c r="D2" i="14"/>
  <c r="B27" i="14" s="1"/>
  <c r="E2" i="14"/>
  <c r="B28" i="14" s="1"/>
  <c r="F2" i="14"/>
  <c r="B29" i="14" s="1"/>
  <c r="G2" i="14"/>
  <c r="B30" i="14" s="1"/>
  <c r="H2" i="14"/>
  <c r="B31" i="14" s="1"/>
  <c r="C2" i="14"/>
  <c r="B26" i="14" s="1"/>
  <c r="O23" i="15"/>
  <c r="O30" i="15" s="1"/>
  <c r="L23" i="15"/>
  <c r="L31" i="15" s="1"/>
  <c r="L32" i="15" s="1"/>
  <c r="I23" i="15"/>
  <c r="I30" i="15" s="1"/>
  <c r="F23" i="15"/>
  <c r="F31" i="15" s="1"/>
  <c r="F32" i="15" s="1"/>
  <c r="C23" i="15"/>
  <c r="C31" i="15" s="1"/>
  <c r="C32" i="15" s="1"/>
  <c r="D8" i="16"/>
  <c r="C8" i="16"/>
  <c r="D7" i="16"/>
  <c r="D21" i="16" s="1"/>
  <c r="C7" i="16"/>
  <c r="M93" i="7" l="1"/>
  <c r="L93" i="7"/>
  <c r="E93" i="7"/>
  <c r="D93" i="7"/>
  <c r="L4" i="7"/>
  <c r="M4" i="7"/>
  <c r="E48" i="7"/>
  <c r="D48" i="7"/>
  <c r="M48" i="7"/>
  <c r="L48" i="7"/>
  <c r="D22" i="16"/>
  <c r="D27" i="16" s="1"/>
  <c r="D30" i="16" s="1"/>
  <c r="E4" i="7"/>
  <c r="D4" i="7"/>
  <c r="H14" i="14"/>
  <c r="G15" i="14"/>
  <c r="G16" i="14" s="1"/>
  <c r="F14" i="14"/>
  <c r="E15" i="14"/>
  <c r="E16" i="14" s="1"/>
  <c r="D15" i="14"/>
  <c r="D16" i="14" s="1"/>
  <c r="C15" i="14"/>
  <c r="C16" i="14" s="1"/>
  <c r="O31" i="15"/>
  <c r="O32" i="15" s="1"/>
  <c r="L30" i="15"/>
  <c r="I31" i="15"/>
  <c r="I32" i="15" s="1"/>
  <c r="F30" i="15"/>
  <c r="C30" i="15"/>
  <c r="C9" i="16"/>
  <c r="C19" i="14" l="1" a="1"/>
  <c r="C19" i="14" s="1"/>
  <c r="C20" i="14" a="1"/>
  <c r="C20" i="14" s="1"/>
  <c r="D34" i="16"/>
  <c r="D32" i="16"/>
  <c r="D33" i="16" s="1"/>
  <c r="O10" i="15" l="1"/>
  <c r="L10" i="15"/>
  <c r="I10" i="15"/>
  <c r="F10" i="15"/>
  <c r="C10" i="15"/>
  <c r="G26" i="13" l="1"/>
  <c r="H37" i="13"/>
  <c r="H36" i="13"/>
  <c r="G31" i="13"/>
  <c r="G30" i="13"/>
  <c r="G15" i="13"/>
  <c r="H15" i="13"/>
  <c r="H8" i="13"/>
  <c r="G8" i="13"/>
  <c r="B15" i="13"/>
  <c r="F37" i="13"/>
  <c r="F36" i="13"/>
  <c r="F31" i="13"/>
  <c r="F30" i="13"/>
  <c r="D9" i="13"/>
  <c r="D12" i="13" s="1"/>
  <c r="C9" i="13"/>
  <c r="C12" i="13" s="1"/>
  <c r="C15" i="13" s="1"/>
  <c r="H18" i="13" l="1"/>
  <c r="G18" i="13"/>
  <c r="D15" i="13"/>
  <c r="D14" i="13" s="1"/>
  <c r="D17" i="13" s="1"/>
  <c r="C14" i="13"/>
  <c r="C17" i="13" s="1"/>
  <c r="B62" i="6" l="1"/>
  <c r="E56" i="6" s="1"/>
  <c r="G50" i="6"/>
  <c r="G49" i="6"/>
  <c r="G48" i="6"/>
  <c r="G47" i="6"/>
  <c r="G46" i="6"/>
  <c r="G45" i="6"/>
  <c r="G44" i="6"/>
  <c r="G43" i="6"/>
  <c r="B22" i="6"/>
  <c r="E16" i="6" s="1"/>
  <c r="G8" i="6"/>
  <c r="G9" i="6"/>
  <c r="G10" i="6"/>
  <c r="G7" i="6"/>
  <c r="G4" i="6"/>
  <c r="G5" i="6"/>
  <c r="G6" i="6"/>
  <c r="G3" i="6"/>
  <c r="B51" i="6" l="1"/>
  <c r="B11" i="6"/>
  <c r="F16" i="6" s="1"/>
  <c r="B63" i="6" l="1"/>
  <c r="F56" i="6"/>
  <c r="H12" i="3"/>
  <c r="H42" i="3" s="1"/>
  <c r="H19" i="3" l="1"/>
  <c r="G19" i="14" l="1"/>
  <c r="D19" i="14" s="1"/>
  <c r="F24" i="1"/>
  <c r="F25" i="1" s="1"/>
  <c r="I17" i="3"/>
  <c r="I18" i="3"/>
  <c r="I26" i="3"/>
  <c r="I11" i="3"/>
  <c r="I10" i="3"/>
  <c r="I32" i="3"/>
  <c r="I31" i="3"/>
  <c r="I34" i="3"/>
  <c r="I33" i="3"/>
  <c r="H2" i="3"/>
  <c r="I41" i="3"/>
  <c r="G41" i="2"/>
  <c r="F41" i="2"/>
  <c r="G13" i="2"/>
  <c r="F13" i="2"/>
  <c r="G34" i="2"/>
  <c r="F34" i="2"/>
  <c r="G30" i="2"/>
  <c r="F30" i="2"/>
  <c r="G25" i="2"/>
  <c r="B24" i="1" s="1"/>
  <c r="B25" i="1" s="1"/>
  <c r="G20" i="2"/>
  <c r="F20" i="2"/>
  <c r="B18" i="2"/>
  <c r="C10" i="2"/>
  <c r="G39" i="2" l="1"/>
  <c r="F5" i="2"/>
  <c r="F39" i="2" s="1"/>
  <c r="B14" i="1" s="1"/>
  <c r="B15" i="1" s="1"/>
  <c r="B10" i="2"/>
  <c r="B22" i="2" s="1"/>
  <c r="F40" i="2" l="1"/>
  <c r="G40" i="2"/>
  <c r="B28" i="2"/>
  <c r="G20" i="14" s="1"/>
  <c r="D20" i="14" s="1"/>
  <c r="G44" i="2" l="1"/>
  <c r="H6" i="2" l="1"/>
  <c r="H10" i="2"/>
  <c r="H14" i="2"/>
  <c r="H18" i="2"/>
  <c r="H21" i="2"/>
  <c r="H27" i="2"/>
  <c r="H31" i="2"/>
  <c r="H35" i="2"/>
  <c r="H23" i="2"/>
  <c r="H4" i="2"/>
  <c r="H12" i="2"/>
  <c r="H19" i="2"/>
  <c r="H33" i="2"/>
  <c r="H42" i="2"/>
  <c r="H9" i="2"/>
  <c r="H17" i="2"/>
  <c r="H26" i="2"/>
  <c r="H38" i="2"/>
  <c r="H3" i="2"/>
  <c r="H7" i="2"/>
  <c r="H11" i="2"/>
  <c r="H15" i="2"/>
  <c r="H24" i="2"/>
  <c r="H28" i="2"/>
  <c r="H32" i="2"/>
  <c r="H36" i="2"/>
  <c r="H41" i="2"/>
  <c r="H8" i="2"/>
  <c r="H16" i="2"/>
  <c r="H25" i="2"/>
  <c r="H29" i="2"/>
  <c r="H37" i="2"/>
  <c r="H13" i="2"/>
  <c r="H20" i="2"/>
  <c r="H30" i="2"/>
  <c r="H34" i="2"/>
  <c r="H22" i="2"/>
  <c r="H5" i="2"/>
  <c r="H40" i="2"/>
  <c r="B23" i="6"/>
  <c r="H44" i="2" l="1"/>
  <c r="K4" i="3"/>
  <c r="K19" i="3" l="1"/>
  <c r="L11" i="3" s="1"/>
  <c r="F14" i="1"/>
  <c r="F15" i="1" s="1"/>
  <c r="K2" i="3"/>
  <c r="L18" i="3"/>
  <c r="L8" i="3"/>
  <c r="L6" i="3"/>
  <c r="L5" i="3"/>
  <c r="L10" i="3"/>
  <c r="L14" i="3"/>
  <c r="L16" i="3"/>
  <c r="L7" i="3"/>
  <c r="L13" i="3"/>
  <c r="F5" i="1" l="1"/>
  <c r="L15" i="3"/>
  <c r="L9" i="3"/>
  <c r="L4" i="3" s="1"/>
  <c r="L17" i="3"/>
  <c r="L12" i="3" s="1"/>
  <c r="L29" i="3" s="1"/>
  <c r="I40" i="3"/>
  <c r="I25" i="3"/>
  <c r="I24" i="3"/>
  <c r="I22" i="3"/>
  <c r="I8" i="3"/>
  <c r="I21" i="3"/>
  <c r="I7" i="3"/>
  <c r="I29" i="3"/>
  <c r="I6" i="3"/>
  <c r="I30" i="3"/>
  <c r="I15" i="3"/>
  <c r="I5" i="3"/>
  <c r="I16" i="3"/>
  <c r="I37" i="3"/>
  <c r="I14" i="3"/>
  <c r="I13" i="3"/>
  <c r="I23" i="3"/>
  <c r="I38" i="3"/>
  <c r="I28" i="3"/>
  <c r="I36" i="3"/>
  <c r="I9" i="3"/>
  <c r="I39" i="3"/>
  <c r="F6" i="1"/>
  <c r="L19" i="3" l="1"/>
  <c r="L28" i="3"/>
  <c r="L30" i="3" s="1"/>
  <c r="I4" i="3"/>
  <c r="L21" i="3" s="1"/>
  <c r="I27" i="3"/>
  <c r="L24" i="3" s="1"/>
  <c r="I20" i="3"/>
  <c r="I35" i="3"/>
  <c r="L25" i="3" s="1"/>
  <c r="I12" i="3"/>
  <c r="L22" i="3" s="1"/>
  <c r="I42" i="3" l="1"/>
  <c r="L23" i="3"/>
  <c r="L26" i="3" s="1"/>
  <c r="I19" i="3"/>
  <c r="C18" i="2"/>
  <c r="C23" i="2" l="1"/>
  <c r="B40" i="2" s="1"/>
  <c r="C22" i="2"/>
  <c r="B33" i="2" l="1"/>
  <c r="D5" i="2"/>
  <c r="D8" i="2"/>
  <c r="D10" i="2"/>
  <c r="D15" i="2"/>
  <c r="B34" i="2"/>
  <c r="D3" i="2"/>
  <c r="D9" i="2"/>
  <c r="D21" i="2"/>
  <c r="D12" i="2"/>
  <c r="B35" i="2"/>
  <c r="D19" i="2"/>
  <c r="D6" i="2"/>
  <c r="D16" i="2"/>
  <c r="D13" i="2"/>
  <c r="D14" i="2"/>
  <c r="D7" i="2"/>
  <c r="B39" i="2"/>
  <c r="D4" i="2"/>
  <c r="D20" i="2"/>
  <c r="D17" i="2"/>
  <c r="D18" i="2"/>
  <c r="D11" i="2"/>
  <c r="B38" i="2"/>
  <c r="B42" i="2"/>
  <c r="B41" i="2"/>
  <c r="B5" i="1"/>
  <c r="B6" i="1" s="1"/>
  <c r="B29" i="2"/>
  <c r="B30" i="2" s="1"/>
  <c r="D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黃正勳</author>
  </authors>
  <commentList>
    <comment ref="E2" authorId="0" shapeId="0" xr:uid="{A1BF0402-1FA0-4F89-BFDA-42FB1744D498}">
      <text>
        <r>
          <rPr>
            <b/>
            <sz val="9"/>
            <color indexed="81"/>
            <rFont val="微軟正黑體"/>
            <family val="2"/>
            <charset val="136"/>
          </rPr>
          <t>生活費或貸款
可按收入比例分擔
或選擇100%負擔
其他項目
視實際支付狀況</t>
        </r>
      </text>
    </comment>
    <comment ref="F2" authorId="0" shapeId="0" xr:uid="{F92AFE9F-C33D-4609-9523-8B158F60D8FA}">
      <text>
        <r>
          <rPr>
            <b/>
            <sz val="9"/>
            <color indexed="81"/>
            <rFont val="微軟正黑體"/>
            <family val="2"/>
            <charset val="136"/>
          </rPr>
          <t>視實際支付狀況
決定是否計入</t>
        </r>
        <r>
          <rPr>
            <b/>
            <sz val="9"/>
            <color indexed="81"/>
            <rFont val="Arial"/>
            <family val="2"/>
          </rPr>
          <t>CPI</t>
        </r>
      </text>
    </comment>
    <comment ref="E42" authorId="0" shapeId="0" xr:uid="{4A060663-6760-4A4A-AFB4-9B07C559AD6D}">
      <text>
        <r>
          <rPr>
            <b/>
            <sz val="9"/>
            <color indexed="81"/>
            <rFont val="微軟正黑體"/>
            <family val="2"/>
            <charset val="136"/>
          </rPr>
          <t>生活費或貸款
可按收入比例分擔
或選擇100%負擔
其他項目
視實際支付狀況</t>
        </r>
      </text>
    </comment>
    <comment ref="F42" authorId="0" shapeId="0" xr:uid="{BCEF5528-B90C-48FE-87AC-8475682A5969}">
      <text>
        <r>
          <rPr>
            <b/>
            <sz val="9"/>
            <color indexed="81"/>
            <rFont val="微軟正黑體"/>
            <family val="2"/>
            <charset val="136"/>
          </rPr>
          <t>視實際支付狀況
決定是否計入</t>
        </r>
        <r>
          <rPr>
            <b/>
            <sz val="9"/>
            <color indexed="81"/>
            <rFont val="Arial"/>
            <family val="2"/>
          </rPr>
          <t>CPI</t>
        </r>
      </text>
    </comment>
    <comment ref="E84" authorId="0" shapeId="0" xr:uid="{323496A2-69B4-4A2F-8871-85AF03F6AF1E}">
      <text>
        <r>
          <rPr>
            <b/>
            <sz val="9"/>
            <color indexed="81"/>
            <rFont val="微軟正黑體"/>
            <family val="2"/>
            <charset val="136"/>
          </rPr>
          <t>生活費或貸款
可按收入比例分擔
或選擇100%負擔
其他項目
視實際支付狀況</t>
        </r>
      </text>
    </comment>
    <comment ref="F84" authorId="0" shapeId="0" xr:uid="{FD9640DE-744B-4C9F-8C5C-8DFE0E1F870C}">
      <text>
        <r>
          <rPr>
            <b/>
            <sz val="9"/>
            <color indexed="81"/>
            <rFont val="微軟正黑體"/>
            <family val="2"/>
            <charset val="136"/>
          </rPr>
          <t>視實際支付狀況
決定是否計入</t>
        </r>
        <r>
          <rPr>
            <b/>
            <sz val="9"/>
            <color indexed="81"/>
            <rFont val="Arial"/>
            <family val="2"/>
          </rPr>
          <t>CPI</t>
        </r>
      </text>
    </comment>
    <comment ref="E126" authorId="0" shapeId="0" xr:uid="{75267DED-ABD4-46B2-A60B-73D9BB09AB78}">
      <text>
        <r>
          <rPr>
            <b/>
            <sz val="9"/>
            <color indexed="81"/>
            <rFont val="微軟正黑體"/>
            <family val="2"/>
            <charset val="136"/>
          </rPr>
          <t>生活費或貸款
可按收入比例分擔
或選擇100%負擔
其他項目
視實際支付狀況</t>
        </r>
      </text>
    </comment>
    <comment ref="F126" authorId="0" shapeId="0" xr:uid="{7273096C-9045-4618-B666-604D5B74E386}">
      <text>
        <r>
          <rPr>
            <b/>
            <sz val="9"/>
            <color indexed="81"/>
            <rFont val="微軟正黑體"/>
            <family val="2"/>
            <charset val="136"/>
          </rPr>
          <t>視實際支付狀況
決定是否計入</t>
        </r>
        <r>
          <rPr>
            <b/>
            <sz val="9"/>
            <color indexed="81"/>
            <rFont val="Arial"/>
            <family val="2"/>
          </rPr>
          <t>CPI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黃正勳</author>
  </authors>
  <commentList>
    <comment ref="C3" authorId="0" shapeId="0" xr:uid="{87B47A66-F28D-41DF-B890-436991E9692F}">
      <text>
        <r>
          <rPr>
            <b/>
            <sz val="10"/>
            <color indexed="81"/>
            <rFont val="微軟正黑體"/>
            <family val="2"/>
            <charset val="136"/>
          </rPr>
          <t>費用參考右側面板
其資訊需定期更新
費用也可自行輸入
自行輸入
出現的儲存格錯誤提示
可不理，或選略過錯誤</t>
        </r>
      </text>
    </comment>
    <comment ref="C19" authorId="0" shapeId="0" xr:uid="{8AD5BCD0-DCFA-422B-944C-053D1F50CB29}">
      <text>
        <r>
          <rPr>
            <b/>
            <sz val="10"/>
            <color indexed="81"/>
            <rFont val="微軟正黑體"/>
            <family val="2"/>
            <charset val="136"/>
          </rPr>
          <t>費用參考右側面板
其資訊需定期更新
費用也可自行輸入
自行輸入
出現的儲存格錯誤提示
可不理，或選略過錯誤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Otis</author>
    <author>黃正勳</author>
  </authors>
  <commentList>
    <comment ref="C8" authorId="0" shapeId="0" xr:uid="{B9E84267-58C0-4853-B314-ADC6E9D65A10}">
      <text>
        <r>
          <rPr>
            <sz val="10"/>
            <color indexed="81"/>
            <rFont val="微軟正黑體"/>
            <family val="2"/>
            <charset val="136"/>
          </rPr>
          <t>退休後餘命</t>
        </r>
      </text>
    </comment>
    <comment ref="C9" authorId="0" shapeId="0" xr:uid="{89A624BD-8BD5-4553-92D3-7CB733818C25}">
      <text>
        <r>
          <rPr>
            <sz val="9"/>
            <color indexed="81"/>
            <rFont val="微軟正黑體"/>
            <family val="2"/>
            <charset val="136"/>
          </rPr>
          <t>預計30年後退休
並不表示30年前就開始準備退休金
如預計30年後退休
但退休前15年才開始準備退休金</t>
        </r>
      </text>
    </comment>
    <comment ref="D9" authorId="1" shapeId="0" xr:uid="{8D2A19D8-6C3B-40F8-A354-BA17926CD0F0}">
      <text>
        <r>
          <rPr>
            <sz val="9"/>
            <color indexed="81"/>
            <rFont val="微軟正黑體"/>
            <family val="2"/>
            <charset val="136"/>
          </rPr>
          <t>原則上以有工作收入期間準備退休
但依實際狀況填入
譬如退休前15年才開始準備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<sst xmlns="http://schemas.openxmlformats.org/spreadsheetml/2006/main" count="826" uniqueCount="380">
  <si>
    <t>家庭收支表</t>
    <phoneticPr fontId="7" type="noConversion"/>
  </si>
  <si>
    <t>年比重</t>
  </si>
  <si>
    <t>薪資</t>
  </si>
  <si>
    <t>油料費</t>
  </si>
  <si>
    <t>退休金</t>
  </si>
  <si>
    <t>(1)總收入</t>
    <phoneticPr fontId="7" type="noConversion"/>
  </si>
  <si>
    <t>平均每月結餘</t>
    <phoneticPr fontId="7" type="noConversion"/>
  </si>
  <si>
    <t>人壽保險</t>
  </si>
  <si>
    <t>◆收入結構比：</t>
    <phoneticPr fontId="7" type="noConversion"/>
  </si>
  <si>
    <t>（收入／總收入）</t>
    <phoneticPr fontId="7" type="noConversion"/>
  </si>
  <si>
    <t>◆支出結構比：</t>
    <phoneticPr fontId="7" type="noConversion"/>
  </si>
  <si>
    <t>（支出／總收入）</t>
    <phoneticPr fontId="7" type="noConversion"/>
  </si>
  <si>
    <r>
      <t>(</t>
    </r>
    <r>
      <rPr>
        <sz val="10"/>
        <color theme="1" tint="0.249977111117893"/>
        <rFont val="微軟正黑體"/>
        <family val="2"/>
        <charset val="136"/>
      </rPr>
      <t>2)</t>
    </r>
    <r>
      <rPr>
        <sz val="10"/>
        <color theme="1" tint="0.249977111117893"/>
        <rFont val="思源黑体 CN Normal"/>
        <family val="2"/>
        <charset val="128"/>
      </rPr>
      <t>總支出</t>
    </r>
    <phoneticPr fontId="7" type="noConversion"/>
  </si>
  <si>
    <r>
      <rPr>
        <b/>
        <sz val="14"/>
        <color rgb="FF0000FF"/>
        <rFont val="微軟正黑體"/>
        <family val="2"/>
        <charset val="136"/>
      </rPr>
      <t>家庭資產負債表</t>
    </r>
    <phoneticPr fontId="7" type="noConversion"/>
  </si>
  <si>
    <r>
      <rPr>
        <sz val="10"/>
        <color theme="1" tint="0.249977111117893"/>
        <rFont val="微軟正黑體"/>
        <family val="2"/>
        <charset val="136"/>
      </rPr>
      <t>項目</t>
    </r>
    <phoneticPr fontId="7" type="noConversion"/>
  </si>
  <si>
    <r>
      <rPr>
        <sz val="10"/>
        <color theme="1" tint="0.249977111117893"/>
        <rFont val="微軟正黑體"/>
        <family val="2"/>
        <charset val="136"/>
      </rPr>
      <t>金額</t>
    </r>
    <phoneticPr fontId="7" type="noConversion"/>
  </si>
  <si>
    <r>
      <rPr>
        <sz val="10"/>
        <color theme="1" tint="0.249977111117893"/>
        <rFont val="微軟正黑體"/>
        <family val="2"/>
        <charset val="136"/>
      </rPr>
      <t>比重</t>
    </r>
    <phoneticPr fontId="7" type="noConversion"/>
  </si>
  <si>
    <r>
      <t>1.</t>
    </r>
    <r>
      <rPr>
        <sz val="10"/>
        <color theme="1" tint="0.249977111117893"/>
        <rFont val="微軟正黑體"/>
        <family val="2"/>
        <charset val="136"/>
      </rPr>
      <t>流動性資產</t>
    </r>
  </si>
  <si>
    <r>
      <t>1.</t>
    </r>
    <r>
      <rPr>
        <sz val="10"/>
        <color theme="1" tint="0.249977111117893"/>
        <rFont val="微軟正黑體"/>
        <family val="2"/>
        <charset val="136"/>
      </rPr>
      <t>短期負債</t>
    </r>
    <phoneticPr fontId="7" type="noConversion"/>
  </si>
  <si>
    <r>
      <t>2.</t>
    </r>
    <r>
      <rPr>
        <sz val="10"/>
        <color theme="1" tint="0.249977111117893"/>
        <rFont val="微軟正黑體"/>
        <family val="2"/>
        <charset val="136"/>
      </rPr>
      <t>長期負債</t>
    </r>
  </si>
  <si>
    <r>
      <t>(2)</t>
    </r>
    <r>
      <rPr>
        <sz val="10"/>
        <color theme="1" tint="0.249977111117893"/>
        <rFont val="微軟正黑體"/>
        <family val="2"/>
        <charset val="136"/>
      </rPr>
      <t>負債總計</t>
    </r>
    <phoneticPr fontId="7" type="noConversion"/>
  </si>
  <si>
    <r>
      <t>3.</t>
    </r>
    <r>
      <rPr>
        <sz val="10"/>
        <color theme="1" tint="0.249977111117893"/>
        <rFont val="微軟正黑體"/>
        <family val="2"/>
        <charset val="136"/>
      </rPr>
      <t>非流動性投資</t>
    </r>
  </si>
  <si>
    <r>
      <rPr>
        <sz val="10"/>
        <color theme="1" tint="0.249977111117893"/>
        <rFont val="微軟正黑體"/>
        <family val="2"/>
        <charset val="136"/>
      </rPr>
      <t>資產結構分析</t>
    </r>
  </si>
  <si>
    <r>
      <rPr>
        <sz val="10"/>
        <color theme="1" tint="0.249977111117893"/>
        <rFont val="微軟正黑體"/>
        <family val="2"/>
        <charset val="136"/>
      </rPr>
      <t>流動性資產</t>
    </r>
    <r>
      <rPr>
        <sz val="10"/>
        <color theme="1" tint="0.249977111117893"/>
        <rFont val="Arial"/>
        <family val="2"/>
      </rPr>
      <t>(</t>
    </r>
    <r>
      <rPr>
        <sz val="10"/>
        <color theme="1" tint="0.249977111117893"/>
        <rFont val="微軟正黑體"/>
        <family val="2"/>
        <charset val="136"/>
      </rPr>
      <t>現金、壽險現金價值</t>
    </r>
    <r>
      <rPr>
        <sz val="10"/>
        <color theme="1" tint="0.249977111117893"/>
        <rFont val="Arial"/>
        <family val="2"/>
      </rPr>
      <t>)</t>
    </r>
  </si>
  <si>
    <r>
      <rPr>
        <sz val="10"/>
        <color theme="1" tint="0.249977111117893"/>
        <rFont val="微軟正黑體"/>
        <family val="2"/>
        <charset val="136"/>
      </rPr>
      <t>流動性投資</t>
    </r>
    <r>
      <rPr>
        <sz val="10"/>
        <color theme="1" tint="0.249977111117893"/>
        <rFont val="Arial"/>
        <family val="2"/>
      </rPr>
      <t>(</t>
    </r>
    <r>
      <rPr>
        <sz val="10"/>
        <color theme="1" tint="0.249977111117893"/>
        <rFont val="微軟正黑體"/>
        <family val="2"/>
        <charset val="136"/>
      </rPr>
      <t>股票、基金</t>
    </r>
    <r>
      <rPr>
        <sz val="10"/>
        <color theme="1" tint="0.249977111117893"/>
        <rFont val="Arial"/>
        <family val="2"/>
      </rPr>
      <t>)</t>
    </r>
    <phoneticPr fontId="7" type="noConversion"/>
  </si>
  <si>
    <t>非流動性投資</t>
    <phoneticPr fontId="7" type="noConversion"/>
  </si>
  <si>
    <t>不動產</t>
    <phoneticPr fontId="7" type="noConversion"/>
  </si>
  <si>
    <t>負債結構分析</t>
    <phoneticPr fontId="7" type="noConversion"/>
  </si>
  <si>
    <t>短期負債</t>
    <phoneticPr fontId="7" type="noConversion"/>
  </si>
  <si>
    <t>長期負債</t>
    <phoneticPr fontId="7" type="noConversion"/>
  </si>
  <si>
    <t>合計</t>
    <phoneticPr fontId="7" type="noConversion"/>
  </si>
  <si>
    <r>
      <t>6.</t>
    </r>
    <r>
      <rPr>
        <sz val="10"/>
        <color theme="1" tint="0.249977111117893"/>
        <rFont val="微軟正黑體"/>
        <family val="2"/>
        <charset val="136"/>
      </rPr>
      <t>其他資產</t>
    </r>
  </si>
  <si>
    <r>
      <t>(1)</t>
    </r>
    <r>
      <rPr>
        <sz val="10"/>
        <color theme="1" tint="0.249977111117893"/>
        <rFont val="微軟正黑體"/>
        <family val="2"/>
        <charset val="136"/>
      </rPr>
      <t>資產總計</t>
    </r>
    <phoneticPr fontId="7" type="noConversion"/>
  </si>
  <si>
    <t>家庭財務指標</t>
    <phoneticPr fontId="6" type="noConversion"/>
  </si>
  <si>
    <r>
      <rPr>
        <sz val="12"/>
        <color theme="1"/>
        <rFont val="Microsoft JhengHei UI"/>
        <family val="2"/>
      </rPr>
      <t>※</t>
    </r>
    <r>
      <rPr>
        <sz val="12"/>
        <color theme="1"/>
        <rFont val="微軟正黑體"/>
        <family val="2"/>
        <charset val="136"/>
      </rPr>
      <t>基本財務分析：</t>
    </r>
    <phoneticPr fontId="6" type="noConversion"/>
  </si>
  <si>
    <t>理財目標</t>
    <phoneticPr fontId="6" type="noConversion"/>
  </si>
  <si>
    <t>X值</t>
  </si>
  <si>
    <t>Y值</t>
  </si>
  <si>
    <t>金額</t>
  </si>
  <si>
    <t>實現年齡</t>
  </si>
  <si>
    <t>購車</t>
  </si>
  <si>
    <t>購屋頭期款</t>
  </si>
  <si>
    <t>可接受年齡</t>
    <phoneticPr fontId="6" type="noConversion"/>
  </si>
  <si>
    <t>壽險應備(本人)</t>
    <phoneticPr fontId="7" type="noConversion"/>
  </si>
  <si>
    <t>壽險已備(本人)</t>
    <phoneticPr fontId="7" type="noConversion"/>
  </si>
  <si>
    <t>需求金額</t>
    <phoneticPr fontId="7" type="noConversion"/>
  </si>
  <si>
    <t>保額</t>
    <phoneticPr fontId="7" type="noConversion"/>
  </si>
  <si>
    <t>每年</t>
    <phoneticPr fontId="7" type="noConversion"/>
  </si>
  <si>
    <t>壽險缺口</t>
    <phoneticPr fontId="7" type="noConversion"/>
  </si>
  <si>
    <t>投資項目</t>
  </si>
  <si>
    <t>期權</t>
  </si>
  <si>
    <t>黃金存摺</t>
  </si>
  <si>
    <t>高收益債</t>
  </si>
  <si>
    <t>定存</t>
  </si>
  <si>
    <t>全球股票基金</t>
  </si>
  <si>
    <t>債券基金</t>
  </si>
  <si>
    <t>百分比</t>
    <phoneticPr fontId="6" type="noConversion"/>
  </si>
  <si>
    <t>國小</t>
    <phoneticPr fontId="6" type="noConversion"/>
  </si>
  <si>
    <t>國中</t>
    <phoneticPr fontId="6" type="noConversion"/>
  </si>
  <si>
    <t>高中</t>
  </si>
  <si>
    <t>高中</t>
    <phoneticPr fontId="6" type="noConversion"/>
  </si>
  <si>
    <t>安親班</t>
    <phoneticPr fontId="6" type="noConversion"/>
  </si>
  <si>
    <t>公立</t>
  </si>
  <si>
    <t>　</t>
  </si>
  <si>
    <t>每月結餘</t>
    <phoneticPr fontId="7" type="noConversion"/>
  </si>
  <si>
    <t>每年結餘</t>
    <phoneticPr fontId="7" type="noConversion"/>
  </si>
  <si>
    <t>每月</t>
    <phoneticPr fontId="6" type="noConversion"/>
  </si>
  <si>
    <t>每年</t>
    <phoneticPr fontId="6" type="noConversion"/>
  </si>
  <si>
    <t>存款利息</t>
  </si>
  <si>
    <t>現金股利</t>
  </si>
  <si>
    <t>基金配息</t>
  </si>
  <si>
    <t>收入項目</t>
    <phoneticPr fontId="6" type="noConversion"/>
  </si>
  <si>
    <t>支出項目</t>
    <phoneticPr fontId="6" type="noConversion"/>
  </si>
  <si>
    <r>
      <t>1.</t>
    </r>
    <r>
      <rPr>
        <b/>
        <sz val="10"/>
        <color rgb="FF0070C0"/>
        <rFont val="微軟正黑體"/>
        <family val="2"/>
        <charset val="136"/>
      </rPr>
      <t>工作收入</t>
    </r>
    <phoneticPr fontId="7" type="noConversion"/>
  </si>
  <si>
    <r>
      <t>2</t>
    </r>
    <r>
      <rPr>
        <b/>
        <sz val="10"/>
        <color rgb="FF0070C0"/>
        <rFont val="微軟正黑體"/>
        <family val="2"/>
        <charset val="136"/>
      </rPr>
      <t>理財收入</t>
    </r>
  </si>
  <si>
    <r>
      <t>3</t>
    </r>
    <r>
      <rPr>
        <b/>
        <sz val="10"/>
        <color rgb="FF0070C0"/>
        <rFont val="微軟正黑體"/>
        <family val="2"/>
        <charset val="136"/>
      </rPr>
      <t>其他收入</t>
    </r>
  </si>
  <si>
    <t>餐敘聚會</t>
  </si>
  <si>
    <r>
      <t>1.</t>
    </r>
    <r>
      <rPr>
        <b/>
        <sz val="10"/>
        <color rgb="FF0070C0"/>
        <rFont val="微軟正黑體"/>
        <family val="2"/>
        <charset val="136"/>
      </rPr>
      <t>食</t>
    </r>
    <phoneticPr fontId="7" type="noConversion"/>
  </si>
  <si>
    <r>
      <t>2.</t>
    </r>
    <r>
      <rPr>
        <b/>
        <sz val="10"/>
        <color rgb="FF0070C0"/>
        <rFont val="微軟正黑體"/>
        <family val="2"/>
        <charset val="136"/>
      </rPr>
      <t>衣</t>
    </r>
    <phoneticPr fontId="7" type="noConversion"/>
  </si>
  <si>
    <r>
      <t>3.</t>
    </r>
    <r>
      <rPr>
        <b/>
        <sz val="10"/>
        <color rgb="FF0070C0"/>
        <rFont val="微軟正黑體"/>
        <family val="2"/>
        <charset val="136"/>
      </rPr>
      <t>住</t>
    </r>
    <phoneticPr fontId="7" type="noConversion"/>
  </si>
  <si>
    <r>
      <t>4.</t>
    </r>
    <r>
      <rPr>
        <sz val="10"/>
        <color rgb="FF0070C0"/>
        <rFont val="微軟正黑體"/>
        <family val="2"/>
        <charset val="136"/>
      </rPr>
      <t>行</t>
    </r>
    <phoneticPr fontId="7" type="noConversion"/>
  </si>
  <si>
    <r>
      <t>5.</t>
    </r>
    <r>
      <rPr>
        <b/>
        <sz val="10"/>
        <color rgb="FF0070C0"/>
        <rFont val="微軟正黑體"/>
        <family val="2"/>
        <charset val="136"/>
      </rPr>
      <t>育／個人進修</t>
    </r>
    <phoneticPr fontId="7" type="noConversion"/>
  </si>
  <si>
    <r>
      <t>6.</t>
    </r>
    <r>
      <rPr>
        <b/>
        <sz val="10"/>
        <color rgb="FF0070C0"/>
        <rFont val="微軟正黑體"/>
        <family val="2"/>
        <charset val="136"/>
      </rPr>
      <t>樂</t>
    </r>
    <phoneticPr fontId="7" type="noConversion"/>
  </si>
  <si>
    <r>
      <t>7.</t>
    </r>
    <r>
      <rPr>
        <b/>
        <sz val="10"/>
        <color rgb="FF0070C0"/>
        <rFont val="微軟正黑體"/>
        <family val="2"/>
        <charset val="136"/>
      </rPr>
      <t>保險費</t>
    </r>
    <phoneticPr fontId="7" type="noConversion"/>
  </si>
  <si>
    <r>
      <t>8.</t>
    </r>
    <r>
      <rPr>
        <b/>
        <sz val="10"/>
        <color rgb="FF0070C0"/>
        <rFont val="微軟正黑體"/>
        <family val="2"/>
        <charset val="136"/>
      </rPr>
      <t>個人所得稅</t>
    </r>
    <phoneticPr fontId="7" type="noConversion"/>
  </si>
  <si>
    <r>
      <t>9.</t>
    </r>
    <r>
      <rPr>
        <b/>
        <sz val="10"/>
        <color rgb="FF0070C0"/>
        <rFont val="微軟正黑體"/>
        <family val="2"/>
        <charset val="136"/>
      </rPr>
      <t>其他借貸</t>
    </r>
    <phoneticPr fontId="7" type="noConversion"/>
  </si>
  <si>
    <r>
      <t>10.</t>
    </r>
    <r>
      <rPr>
        <b/>
        <sz val="10"/>
        <color rgb="FF0070C0"/>
        <rFont val="微軟正黑體"/>
        <family val="2"/>
        <charset val="136"/>
      </rPr>
      <t>理財支出</t>
    </r>
    <phoneticPr fontId="7" type="noConversion"/>
  </si>
  <si>
    <r>
      <rPr>
        <b/>
        <sz val="10"/>
        <color rgb="FF0070C0"/>
        <rFont val="新細明體"/>
        <family val="1"/>
        <charset val="136"/>
        <scheme val="minor"/>
      </rPr>
      <t>◎</t>
    </r>
    <r>
      <rPr>
        <b/>
        <sz val="10"/>
        <color rgb="FF0070C0"/>
        <rFont val="微軟正黑體"/>
        <family val="2"/>
        <charset val="136"/>
      </rPr>
      <t>其他支出總額</t>
    </r>
    <phoneticPr fontId="6" type="noConversion"/>
  </si>
  <si>
    <t>信貸</t>
  </si>
  <si>
    <t>基金定投</t>
  </si>
  <si>
    <t>投資型保單</t>
  </si>
  <si>
    <r>
      <t>◆家庭可支配餘額＝</t>
    </r>
    <r>
      <rPr>
        <b/>
        <sz val="10"/>
        <color theme="1"/>
        <rFont val="Arial"/>
        <family val="2"/>
      </rPr>
      <t>(1)-(2)</t>
    </r>
    <phoneticPr fontId="7" type="noConversion"/>
  </si>
  <si>
    <t>工作收入佔</t>
    <phoneticPr fontId="7" type="noConversion"/>
  </si>
  <si>
    <t>理財收入佔</t>
    <phoneticPr fontId="7" type="noConversion"/>
  </si>
  <si>
    <t>其他收入佔</t>
    <phoneticPr fontId="7" type="noConversion"/>
  </si>
  <si>
    <t>生活支出佔</t>
    <phoneticPr fontId="7" type="noConversion"/>
  </si>
  <si>
    <t>保費支出佔</t>
    <phoneticPr fontId="7" type="noConversion"/>
  </si>
  <si>
    <t>個人所得稅佔</t>
    <phoneticPr fontId="7" type="noConversion"/>
  </si>
  <si>
    <t>貸款支出佔</t>
    <phoneticPr fontId="7" type="noConversion"/>
  </si>
  <si>
    <t>理財支出佔</t>
    <phoneticPr fontId="7" type="noConversion"/>
  </si>
  <si>
    <r>
      <rPr>
        <b/>
        <sz val="10"/>
        <color theme="1" tint="0.249977111117893"/>
        <rFont val="微軟正黑體"/>
        <family val="2"/>
        <charset val="136"/>
      </rPr>
      <t>資產</t>
    </r>
    <phoneticPr fontId="7" type="noConversion"/>
  </si>
  <si>
    <r>
      <rPr>
        <b/>
        <sz val="10"/>
        <color theme="1" tint="0.249977111117893"/>
        <rFont val="微軟正黑體"/>
        <family val="2"/>
        <charset val="136"/>
      </rPr>
      <t>負債</t>
    </r>
    <phoneticPr fontId="7" type="noConversion"/>
  </si>
  <si>
    <t>台幣活存</t>
  </si>
  <si>
    <t>外幣活存</t>
  </si>
  <si>
    <t>保單現金價值</t>
  </si>
  <si>
    <t>股票(上市櫃)</t>
  </si>
  <si>
    <t>共同基金</t>
  </si>
  <si>
    <t>股票(未上市櫃)</t>
  </si>
  <si>
    <t>自用住宅</t>
  </si>
  <si>
    <t>黃金</t>
  </si>
  <si>
    <t>珠寶</t>
  </si>
  <si>
    <t>子女教育金</t>
  </si>
  <si>
    <t>父母孝養費用</t>
  </si>
  <si>
    <t>房屋貸款餘額</t>
  </si>
  <si>
    <t>每期費用</t>
    <phoneticPr fontId="7" type="noConversion"/>
  </si>
  <si>
    <t>生命禮儀費用</t>
  </si>
  <si>
    <t>生前契約</t>
  </si>
  <si>
    <t>CPI</t>
    <phoneticPr fontId="7" type="noConversion"/>
  </si>
  <si>
    <t>分擔比率</t>
    <phoneticPr fontId="7" type="noConversion"/>
  </si>
  <si>
    <t>遺族生活費用</t>
  </si>
  <si>
    <t>單位</t>
    <phoneticPr fontId="6" type="noConversion"/>
  </si>
  <si>
    <t>期數</t>
    <phoneticPr fontId="7" type="noConversion"/>
  </si>
  <si>
    <t>每年</t>
  </si>
  <si>
    <t>單筆</t>
  </si>
  <si>
    <t>定期壽險</t>
  </si>
  <si>
    <t>終身壽險</t>
  </si>
  <si>
    <t>勞保保險</t>
  </si>
  <si>
    <t>軍公教保險</t>
  </si>
  <si>
    <t>現有保險</t>
    <phoneticPr fontId="7" type="noConversion"/>
  </si>
  <si>
    <t>支出項目</t>
    <phoneticPr fontId="7" type="noConversion"/>
  </si>
  <si>
    <t>應備保額</t>
    <phoneticPr fontId="7" type="noConversion"/>
  </si>
  <si>
    <t>已備保額</t>
    <phoneticPr fontId="7" type="noConversion"/>
  </si>
  <si>
    <t>壽險應備(配偶)</t>
    <phoneticPr fontId="7" type="noConversion"/>
  </si>
  <si>
    <t>壽險已備(配偶)</t>
    <phoneticPr fontId="7" type="noConversion"/>
  </si>
  <si>
    <t>創業基金</t>
  </si>
  <si>
    <t>醫療基金</t>
    <phoneticPr fontId="6" type="noConversion"/>
  </si>
  <si>
    <t>報酬率</t>
    <phoneticPr fontId="6" type="noConversion"/>
  </si>
  <si>
    <t>底圖</t>
    <phoneticPr fontId="6" type="noConversion"/>
  </si>
  <si>
    <t>目標現值</t>
    <phoneticPr fontId="6" type="noConversion"/>
  </si>
  <si>
    <t>可負擔的房貸月付金</t>
    <phoneticPr fontId="52" type="noConversion"/>
  </si>
  <si>
    <t>房屋貸款利率</t>
    <phoneticPr fontId="52" type="noConversion"/>
  </si>
  <si>
    <t>房屋貸款年限</t>
    <phoneticPr fontId="52" type="noConversion"/>
  </si>
  <si>
    <t>房屋可貸款額度</t>
    <phoneticPr fontId="52" type="noConversion"/>
  </si>
  <si>
    <t>每月收入</t>
    <phoneticPr fontId="52" type="noConversion"/>
  </si>
  <si>
    <t>房貸占每月收入比</t>
    <phoneticPr fontId="52" type="noConversion"/>
  </si>
  <si>
    <t>貸款利率</t>
    <phoneticPr fontId="52" type="noConversion"/>
  </si>
  <si>
    <t>貸款期數</t>
    <phoneticPr fontId="52" type="noConversion"/>
  </si>
  <si>
    <t>貸款金額</t>
    <phoneticPr fontId="52" type="noConversion"/>
  </si>
  <si>
    <t>月供額金額</t>
    <phoneticPr fontId="52" type="noConversion"/>
  </si>
  <si>
    <t>Start</t>
    <phoneticPr fontId="6" type="noConversion"/>
  </si>
  <si>
    <t>End</t>
    <phoneticPr fontId="6" type="noConversion"/>
  </si>
  <si>
    <t>計畫A</t>
    <phoneticPr fontId="52" type="noConversion"/>
  </si>
  <si>
    <t>計畫B</t>
    <phoneticPr fontId="52" type="noConversion"/>
  </si>
  <si>
    <t>以貸款成數＋每月支付房貸，計算可購買之房屋總價</t>
    <phoneticPr fontId="52" type="noConversion"/>
  </si>
  <si>
    <t>房屋貸款％</t>
    <phoneticPr fontId="52" type="noConversion"/>
  </si>
  <si>
    <t>以購屋總價，計算需支付之每月房貸</t>
    <phoneticPr fontId="52" type="noConversion"/>
  </si>
  <si>
    <t>以貸款成數試算需準備頭期款</t>
    <phoneticPr fontId="52" type="noConversion"/>
  </si>
  <si>
    <t>最高可購屋總價</t>
    <phoneticPr fontId="52" type="noConversion"/>
  </si>
  <si>
    <t>親友資助／賣屋剩餘價款</t>
    <phoneticPr fontId="52" type="noConversion"/>
  </si>
  <si>
    <t>a.優惠房屋貸款利率</t>
    <phoneticPr fontId="52" type="noConversion"/>
  </si>
  <si>
    <t>a.優惠房貸額度</t>
    <phoneticPr fontId="52" type="noConversion"/>
  </si>
  <si>
    <t>a.優惠房屋貸款年限</t>
    <phoneticPr fontId="52" type="noConversion"/>
  </si>
  <si>
    <t>b.一般房屋貸款利率</t>
    <phoneticPr fontId="52" type="noConversion"/>
  </si>
  <si>
    <t>b.一般房貸額度</t>
    <phoneticPr fontId="52" type="noConversion"/>
  </si>
  <si>
    <t>b.一般房屋貸款年限</t>
    <phoneticPr fontId="52" type="noConversion"/>
  </si>
  <si>
    <t>合計每月房貸金額</t>
    <phoneticPr fontId="52" type="noConversion"/>
  </si>
  <si>
    <t>期初 ／期末</t>
    <phoneticPr fontId="52" type="noConversion"/>
  </si>
  <si>
    <t>預期投資報酬率</t>
    <phoneticPr fontId="52" type="noConversion"/>
  </si>
  <si>
    <t>投資時間</t>
    <phoneticPr fontId="52" type="noConversion"/>
  </si>
  <si>
    <t>投資期數</t>
    <phoneticPr fontId="52" type="noConversion"/>
  </si>
  <si>
    <t>每月投資</t>
    <phoneticPr fontId="52" type="noConversion"/>
  </si>
  <si>
    <t>每月投入金額</t>
    <phoneticPr fontId="52" type="noConversion"/>
  </si>
  <si>
    <t>現有資產</t>
    <phoneticPr fontId="52" type="noConversion"/>
  </si>
  <si>
    <t>每月投入</t>
    <phoneticPr fontId="52" type="noConversion"/>
  </si>
  <si>
    <t>現有資金</t>
    <phoneticPr fontId="52" type="noConversion"/>
  </si>
  <si>
    <t>理財目標</t>
    <phoneticPr fontId="52" type="noConversion"/>
  </si>
  <si>
    <t>期初／期末</t>
    <phoneticPr fontId="52" type="noConversion"/>
  </si>
  <si>
    <t>可累積金額</t>
    <phoneticPr fontId="52" type="noConversion"/>
  </si>
  <si>
    <t>達成目標時間</t>
    <phoneticPr fontId="52" type="noConversion"/>
  </si>
  <si>
    <t>所需投資報酬率</t>
    <phoneticPr fontId="52" type="noConversion"/>
  </si>
  <si>
    <t>每月所需投資金額</t>
    <phoneticPr fontId="52" type="noConversion"/>
  </si>
  <si>
    <t>目前單筆需投資金額</t>
    <phoneticPr fontId="52" type="noConversion"/>
  </si>
  <si>
    <t>`</t>
    <phoneticPr fontId="6" type="noConversion"/>
  </si>
  <si>
    <r>
      <rPr>
        <sz val="14"/>
        <color theme="0"/>
        <rFont val="Arial Black"/>
        <family val="2"/>
      </rPr>
      <t>FV</t>
    </r>
    <r>
      <rPr>
        <sz val="14"/>
        <color theme="0"/>
        <rFont val="微軟正黑體"/>
        <family val="2"/>
        <charset val="136"/>
      </rPr>
      <t>／最終可累積金額</t>
    </r>
    <phoneticPr fontId="52" type="noConversion"/>
  </si>
  <si>
    <r>
      <rPr>
        <sz val="14"/>
        <color theme="0"/>
        <rFont val="Arial Black"/>
        <family val="2"/>
      </rPr>
      <t>n</t>
    </r>
    <r>
      <rPr>
        <sz val="14"/>
        <color theme="0"/>
        <rFont val="微軟正黑體"/>
        <family val="2"/>
        <charset val="136"/>
      </rPr>
      <t>／所需時間</t>
    </r>
    <phoneticPr fontId="52" type="noConversion"/>
  </si>
  <si>
    <r>
      <rPr>
        <sz val="14"/>
        <color theme="0"/>
        <rFont val="Arial Black"/>
        <family val="2"/>
      </rPr>
      <t>i</t>
    </r>
    <r>
      <rPr>
        <sz val="14"/>
        <color theme="0"/>
        <rFont val="微軟正黑體"/>
        <family val="2"/>
        <charset val="136"/>
      </rPr>
      <t>／所需報酬率</t>
    </r>
    <phoneticPr fontId="52" type="noConversion"/>
  </si>
  <si>
    <r>
      <rPr>
        <sz val="13"/>
        <color theme="0"/>
        <rFont val="Arial Black"/>
        <family val="2"/>
      </rPr>
      <t>PMT</t>
    </r>
    <r>
      <rPr>
        <sz val="13"/>
        <color theme="0"/>
        <rFont val="微軟正黑體"/>
        <family val="2"/>
        <charset val="136"/>
      </rPr>
      <t>／每月所需投資金額</t>
    </r>
    <phoneticPr fontId="52" type="noConversion"/>
  </si>
  <si>
    <r>
      <rPr>
        <sz val="13"/>
        <color theme="0"/>
        <rFont val="Arial Black"/>
        <family val="2"/>
      </rPr>
      <t>PV</t>
    </r>
    <r>
      <rPr>
        <sz val="13"/>
        <color theme="0"/>
        <rFont val="微軟正黑體"/>
        <family val="2"/>
        <charset val="136"/>
      </rPr>
      <t>／單筆所需投資金額</t>
    </r>
    <phoneticPr fontId="52" type="noConversion"/>
  </si>
  <si>
    <t>※計算退休當年所需退休金，與目前每月平均需投入金額</t>
    <phoneticPr fontId="7" type="noConversion"/>
  </si>
  <si>
    <t>a</t>
    <phoneticPr fontId="6" type="noConversion"/>
  </si>
  <si>
    <t>目前年齡</t>
    <phoneticPr fontId="6" type="noConversion"/>
  </si>
  <si>
    <t>b</t>
    <phoneticPr fontId="6" type="noConversion"/>
  </si>
  <si>
    <t>退休後餘命至Ｏ歲</t>
    <phoneticPr fontId="6" type="noConversion"/>
  </si>
  <si>
    <r>
      <t>預估</t>
    </r>
    <r>
      <rPr>
        <b/>
        <sz val="12"/>
        <color rgb="FFFF0000"/>
        <rFont val="微軟正黑體"/>
        <family val="2"/>
        <charset val="136"/>
      </rPr>
      <t>「退休後」</t>
    </r>
    <r>
      <rPr>
        <sz val="12"/>
        <color theme="1" tint="0.249977111117893"/>
        <rFont val="微軟正黑體"/>
        <family val="2"/>
        <charset val="136"/>
      </rPr>
      <t>的投資報酬率</t>
    </r>
    <phoneticPr fontId="7" type="noConversion"/>
  </si>
  <si>
    <r>
      <t>退休開始</t>
    </r>
    <r>
      <rPr>
        <b/>
        <sz val="12"/>
        <color rgb="FFFF3300"/>
        <rFont val="Microsoft JhengHei Light"/>
        <family val="2"/>
        <charset val="136"/>
      </rPr>
      <t>第1年</t>
    </r>
    <r>
      <rPr>
        <sz val="12"/>
        <color theme="1"/>
        <rFont val="Microsoft JhengHei Light"/>
        <family val="2"/>
        <charset val="136"/>
      </rPr>
      <t>的每月生活支出</t>
    </r>
    <phoneticPr fontId="7" type="noConversion"/>
  </si>
  <si>
    <t>退休當年總共需要準備的生活開銷金額</t>
    <phoneticPr fontId="7" type="noConversion"/>
  </si>
  <si>
    <t>退休當年已備有退休金</t>
    <phoneticPr fontId="7" type="noConversion"/>
  </si>
  <si>
    <t>退休金缺口</t>
    <phoneticPr fontId="7" type="noConversion"/>
  </si>
  <si>
    <t>每年需投入退休準備金額</t>
    <phoneticPr fontId="7" type="noConversion"/>
  </si>
  <si>
    <t>每月需投入退休準備金額</t>
    <phoneticPr fontId="7" type="noConversion"/>
  </si>
  <si>
    <t>單筆需投入金額</t>
    <phoneticPr fontId="7" type="noConversion"/>
  </si>
  <si>
    <t>預估通貨膨脹率％</t>
    <phoneticPr fontId="7" type="noConversion"/>
  </si>
  <si>
    <t>總計／所需準備之退休金</t>
    <phoneticPr fontId="7" type="noConversion"/>
  </si>
  <si>
    <t>理財目標</t>
    <phoneticPr fontId="6" type="noConversion"/>
  </si>
  <si>
    <t>投資報酬率</t>
    <phoneticPr fontId="6" type="noConversion"/>
  </si>
  <si>
    <t>可準備時間</t>
    <phoneticPr fontId="6" type="noConversion"/>
  </si>
  <si>
    <t>目標終值／應備</t>
    <phoneticPr fontId="6" type="noConversion"/>
  </si>
  <si>
    <t>目標CPI</t>
    <phoneticPr fontId="6" type="noConversion"/>
  </si>
  <si>
    <t>離目標實現時間</t>
    <phoneticPr fontId="6" type="noConversion"/>
  </si>
  <si>
    <t>購／換車</t>
  </si>
  <si>
    <t>遺贈規劃</t>
  </si>
  <si>
    <t>單筆投入小計</t>
    <phoneticPr fontId="6" type="noConversion"/>
  </si>
  <si>
    <t>每月投入小計</t>
    <phoneticPr fontId="6" type="noConversion"/>
  </si>
  <si>
    <t>核取要加總的項目</t>
    <phoneticPr fontId="6" type="noConversion"/>
  </si>
  <si>
    <t>可投入總資產為</t>
    <phoneticPr fontId="6" type="noConversion"/>
  </si>
  <si>
    <t>可投入之每月結餘</t>
    <phoneticPr fontId="6" type="noConversion"/>
  </si>
  <si>
    <t>投入準備時間</t>
    <phoneticPr fontId="6" type="noConversion"/>
  </si>
  <si>
    <t>開始準備</t>
    <phoneticPr fontId="6" type="noConversion"/>
  </si>
  <si>
    <t>開始準備年齡</t>
    <phoneticPr fontId="6" type="noConversion"/>
  </si>
  <si>
    <t>目標的CPI</t>
    <phoneticPr fontId="6" type="noConversion"/>
  </si>
  <si>
    <t>目標實現年齡</t>
    <phoneticPr fontId="6" type="noConversion"/>
  </si>
  <si>
    <t>準備時間</t>
    <phoneticPr fontId="6" type="noConversion"/>
  </si>
  <si>
    <t>目前年紀</t>
    <phoneticPr fontId="6" type="noConversion"/>
  </si>
  <si>
    <t>總計</t>
    <phoneticPr fontId="6" type="noConversion"/>
  </si>
  <si>
    <t>A股</t>
    <phoneticPr fontId="6" type="noConversion"/>
  </si>
  <si>
    <t>國內大學</t>
  </si>
  <si>
    <t>國內大學</t>
    <phoneticPr fontId="6" type="noConversion"/>
  </si>
  <si>
    <t>國外大學</t>
    <phoneticPr fontId="6" type="noConversion"/>
  </si>
  <si>
    <t>國內研究所</t>
    <phoneticPr fontId="6" type="noConversion"/>
  </si>
  <si>
    <t>國外研究所</t>
    <phoneticPr fontId="6" type="noConversion"/>
  </si>
  <si>
    <t>機構</t>
    <phoneticPr fontId="6" type="noConversion"/>
  </si>
  <si>
    <t>教育學程</t>
    <phoneticPr fontId="6" type="noConversion"/>
  </si>
  <si>
    <t>就讀年齡</t>
    <phoneticPr fontId="6" type="noConversion"/>
  </si>
  <si>
    <t>國小</t>
  </si>
  <si>
    <t>國中</t>
  </si>
  <si>
    <t>距離時間</t>
    <phoneticPr fontId="6" type="noConversion"/>
  </si>
  <si>
    <t>CPI</t>
    <phoneticPr fontId="6" type="noConversion"/>
  </si>
  <si>
    <t>試算學費</t>
    <phoneticPr fontId="6" type="noConversion"/>
  </si>
  <si>
    <t>每年期數</t>
    <phoneticPr fontId="6" type="noConversion"/>
  </si>
  <si>
    <t>就讀時間</t>
    <phoneticPr fontId="6" type="noConversion"/>
  </si>
  <si>
    <t>費用
月/學期/年</t>
    <phoneticPr fontId="6" type="noConversion"/>
  </si>
  <si>
    <t>私立</t>
  </si>
  <si>
    <t>幼兒園</t>
    <phoneticPr fontId="6" type="noConversion"/>
  </si>
  <si>
    <t>學程</t>
    <phoneticPr fontId="6" type="noConversion"/>
  </si>
  <si>
    <t>機構與費用</t>
    <phoneticPr fontId="6" type="noConversion"/>
  </si>
  <si>
    <t>獎金</t>
  </si>
  <si>
    <t>幼兒園</t>
  </si>
  <si>
    <t>學費小計</t>
    <phoneticPr fontId="6" type="noConversion"/>
  </si>
  <si>
    <t>目前每月結餘</t>
    <phoneticPr fontId="6" type="noConversion"/>
  </si>
  <si>
    <t>理財目標每月已投入</t>
    <phoneticPr fontId="6" type="noConversion"/>
  </si>
  <si>
    <t>理財目標單筆已投入</t>
    <phoneticPr fontId="6" type="noConversion"/>
  </si>
  <si>
    <t>每月可支配結餘</t>
    <phoneticPr fontId="6" type="noConversion"/>
  </si>
  <si>
    <t>Ｎ年後</t>
    <phoneticPr fontId="6" type="noConversion"/>
  </si>
  <si>
    <t>目標專戶已備金額</t>
    <phoneticPr fontId="6" type="noConversion"/>
  </si>
  <si>
    <t>目標單筆已投入</t>
    <phoneticPr fontId="6" type="noConversion"/>
  </si>
  <si>
    <t>目標每年已投入</t>
    <phoneticPr fontId="6" type="noConversion"/>
  </si>
  <si>
    <t>目標尚需投入單筆</t>
    <phoneticPr fontId="6" type="noConversion"/>
  </si>
  <si>
    <t>目標尚需每年再投入</t>
    <phoneticPr fontId="6" type="noConversion"/>
  </si>
  <si>
    <t>目標尚需每月再投入</t>
    <phoneticPr fontId="6" type="noConversion"/>
  </si>
  <si>
    <t>小額信貸</t>
  </si>
  <si>
    <t>消費分期</t>
  </si>
  <si>
    <t>自用住宅房貸</t>
  </si>
  <si>
    <r>
      <t>4.</t>
    </r>
    <r>
      <rPr>
        <sz val="10"/>
        <color theme="1" tint="0.249977111117893"/>
        <rFont val="微軟正黑體"/>
        <family val="2"/>
        <charset val="136"/>
      </rPr>
      <t>不動產投資</t>
    </r>
    <phoneticPr fontId="6" type="noConversion"/>
  </si>
  <si>
    <r>
      <rPr>
        <sz val="10"/>
        <color theme="1" tint="0.499984740745262"/>
        <rFont val="微軟正黑體"/>
        <family val="2"/>
        <charset val="136"/>
      </rPr>
      <t>汽車</t>
    </r>
    <r>
      <rPr>
        <sz val="10"/>
        <color theme="1" tint="0.499984740745262"/>
        <rFont val="Arial"/>
        <family val="2"/>
      </rPr>
      <t xml:space="preserve"> (</t>
    </r>
    <r>
      <rPr>
        <sz val="10"/>
        <color theme="1" tint="0.499984740745262"/>
        <rFont val="微軟正黑體"/>
        <family val="2"/>
        <charset val="136"/>
      </rPr>
      <t>折舊後</t>
    </r>
    <r>
      <rPr>
        <sz val="10"/>
        <color theme="1" tint="0.499984740745262"/>
        <rFont val="Arial"/>
        <family val="2"/>
      </rPr>
      <t>)</t>
    </r>
  </si>
  <si>
    <t>其他資產</t>
    <phoneticPr fontId="6" type="noConversion"/>
  </si>
  <si>
    <t>合計</t>
    <phoneticPr fontId="6" type="noConversion"/>
  </si>
  <si>
    <t>儲蓄率</t>
    <phoneticPr fontId="6" type="noConversion"/>
  </si>
  <si>
    <t>緊急預備金</t>
    <phoneticPr fontId="6" type="noConversion"/>
  </si>
  <si>
    <r>
      <rPr>
        <sz val="10"/>
        <color theme="1" tint="0.249977111117893"/>
        <rFont val="新細明體"/>
        <family val="1"/>
        <charset val="136"/>
        <scheme val="major"/>
      </rPr>
      <t>◎</t>
    </r>
    <r>
      <rPr>
        <sz val="10"/>
        <color theme="1" tint="0.249977111117893"/>
        <rFont val="微軟正黑體"/>
        <family val="2"/>
        <charset val="136"/>
      </rPr>
      <t>基本支出總額</t>
    </r>
    <phoneticPr fontId="6" type="noConversion"/>
  </si>
  <si>
    <r>
      <t>2.</t>
    </r>
    <r>
      <rPr>
        <sz val="10"/>
        <color theme="1" tint="0.249977111117893"/>
        <rFont val="微軟正黑體"/>
        <family val="2"/>
        <charset val="136"/>
      </rPr>
      <t>投資性資產</t>
    </r>
    <phoneticPr fontId="7" type="noConversion"/>
  </si>
  <si>
    <r>
      <rPr>
        <sz val="10"/>
        <color theme="1" tint="0.249977111117893"/>
        <rFont val="微軟正黑體"/>
        <family val="2"/>
        <charset val="136"/>
      </rPr>
      <t>流動性</t>
    </r>
    <r>
      <rPr>
        <sz val="10"/>
        <color theme="1" tint="0.249977111117893"/>
        <rFont val="Arial"/>
        <family val="2"/>
      </rPr>
      <t>&amp;</t>
    </r>
    <r>
      <rPr>
        <sz val="10"/>
        <color theme="1" tint="0.249977111117893"/>
        <rFont val="微軟正黑體"/>
        <family val="2"/>
        <charset val="136"/>
      </rPr>
      <t>投資性資產</t>
    </r>
    <phoneticPr fontId="7" type="noConversion"/>
  </si>
  <si>
    <t>生息資產比率</t>
    <phoneticPr fontId="6" type="noConversion"/>
  </si>
  <si>
    <t>保費負擔率</t>
    <phoneticPr fontId="6" type="noConversion"/>
  </si>
  <si>
    <r>
      <rPr>
        <sz val="10"/>
        <color theme="0"/>
        <rFont val="微軟正黑體"/>
        <family val="2"/>
        <charset val="136"/>
      </rPr>
      <t>短期償債能力</t>
    </r>
    <phoneticPr fontId="6" type="noConversion"/>
  </si>
  <si>
    <t>資產負債率</t>
    <phoneticPr fontId="6" type="noConversion"/>
  </si>
  <si>
    <t>理財目標~應備／已備計算</t>
    <phoneticPr fontId="6" type="noConversion"/>
  </si>
  <si>
    <t>簡易貨幣時間價值計算</t>
    <phoneticPr fontId="6" type="noConversion"/>
  </si>
  <si>
    <t>時間幅度</t>
    <phoneticPr fontId="6" type="noConversion"/>
  </si>
  <si>
    <t>短期</t>
  </si>
  <si>
    <t>中期</t>
  </si>
  <si>
    <t>長期</t>
  </si>
  <si>
    <t>重要性</t>
    <phoneticPr fontId="6" type="noConversion"/>
  </si>
  <si>
    <t>★★</t>
  </si>
  <si>
    <t>★★★★</t>
  </si>
  <si>
    <t>人身保險</t>
    <phoneticPr fontId="6" type="noConversion"/>
  </si>
  <si>
    <t>重大疾病</t>
    <phoneticPr fontId="52" type="noConversion"/>
  </si>
  <si>
    <t>傷害保險</t>
    <phoneticPr fontId="6" type="noConversion"/>
  </si>
  <si>
    <t>已備</t>
    <phoneticPr fontId="6" type="noConversion"/>
  </si>
  <si>
    <t>應備</t>
    <phoneticPr fontId="6" type="noConversion"/>
  </si>
  <si>
    <t>目標投資報酬率</t>
    <phoneticPr fontId="6" type="noConversion"/>
  </si>
  <si>
    <t>可投資的資產</t>
  </si>
  <si>
    <t>可投資的資產</t>
    <phoneticPr fontId="6" type="noConversion"/>
  </si>
  <si>
    <t>子女1</t>
    <phoneticPr fontId="6" type="noConversion"/>
  </si>
  <si>
    <t>子女2</t>
    <phoneticPr fontId="6" type="noConversion"/>
  </si>
  <si>
    <t>就讀時間2</t>
    <phoneticPr fontId="6" type="noConversion"/>
  </si>
  <si>
    <t>就讀時間1</t>
    <phoneticPr fontId="6" type="noConversion"/>
  </si>
  <si>
    <t>距離時間1</t>
    <phoneticPr fontId="6" type="noConversion"/>
  </si>
  <si>
    <t>距離時間2</t>
  </si>
  <si>
    <t>子女教育費用試算</t>
    <phoneticPr fontId="6" type="noConversion"/>
  </si>
  <si>
    <t>房貸本息攤還查詢</t>
    <phoneticPr fontId="52" type="noConversion"/>
  </si>
  <si>
    <t>規劃前</t>
    <phoneticPr fontId="6" type="noConversion"/>
  </si>
  <si>
    <t>規劃後</t>
    <phoneticPr fontId="6" type="noConversion"/>
  </si>
  <si>
    <t>以購屋總價+裝潢費，計算需支付之每月房貸</t>
    <phoneticPr fontId="52" type="noConversion"/>
  </si>
  <si>
    <r>
      <rPr>
        <sz val="12"/>
        <color theme="0"/>
        <rFont val="Arial"/>
        <family val="2"/>
      </rPr>
      <t>(1)</t>
    </r>
    <r>
      <rPr>
        <sz val="12"/>
        <color theme="0"/>
        <rFont val="微軟正黑體"/>
        <family val="2"/>
        <charset val="136"/>
      </rPr>
      <t>購買房屋總價</t>
    </r>
    <phoneticPr fontId="52" type="noConversion"/>
  </si>
  <si>
    <r>
      <rPr>
        <sz val="12"/>
        <color theme="0"/>
        <rFont val="Arial"/>
        <family val="2"/>
      </rPr>
      <t>(2)</t>
    </r>
    <r>
      <rPr>
        <sz val="12"/>
        <color theme="0"/>
        <rFont val="微軟正黑體"/>
        <family val="2"/>
        <charset val="136"/>
      </rPr>
      <t>將來已備之購屋頭期款</t>
    </r>
    <phoneticPr fontId="52" type="noConversion"/>
  </si>
  <si>
    <r>
      <rPr>
        <sz val="12"/>
        <color theme="0"/>
        <rFont val="Arial"/>
        <family val="2"/>
      </rPr>
      <t>(3)</t>
    </r>
    <r>
      <rPr>
        <sz val="12"/>
        <color theme="0"/>
        <rFont val="微軟正黑體"/>
        <family val="2"/>
        <charset val="136"/>
      </rPr>
      <t>房屋貸款金額</t>
    </r>
    <r>
      <rPr>
        <sz val="12"/>
        <color theme="0"/>
        <rFont val="Arial"/>
        <family val="2"/>
      </rPr>
      <t>(1)-(2)</t>
    </r>
    <phoneticPr fontId="52" type="noConversion"/>
  </si>
  <si>
    <t>(4)裝潢預算</t>
    <phoneticPr fontId="52" type="noConversion"/>
  </si>
  <si>
    <r>
      <t>預計「</t>
    </r>
    <r>
      <rPr>
        <b/>
        <sz val="12"/>
        <color rgb="FF003399"/>
        <rFont val="微軟正黑體"/>
        <family val="2"/>
        <charset val="136"/>
      </rPr>
      <t>退休前</t>
    </r>
    <r>
      <rPr>
        <sz val="12"/>
        <color theme="1"/>
        <rFont val="微軟正黑體"/>
        <family val="2"/>
        <charset val="136"/>
      </rPr>
      <t>」現有可單筆投入退休準備的資金</t>
    </r>
    <phoneticPr fontId="7" type="noConversion"/>
  </si>
  <si>
    <r>
      <t>預計「</t>
    </r>
    <r>
      <rPr>
        <b/>
        <sz val="12"/>
        <color rgb="FF003399"/>
        <rFont val="微軟正黑體"/>
        <family val="2"/>
        <charset val="136"/>
      </rPr>
      <t>退休前</t>
    </r>
    <r>
      <rPr>
        <sz val="12"/>
        <color theme="1"/>
        <rFont val="微軟正黑體"/>
        <family val="2"/>
        <charset val="136"/>
      </rPr>
      <t>」現有每月投入退休準備的資金</t>
    </r>
    <phoneticPr fontId="7" type="noConversion"/>
  </si>
  <si>
    <r>
      <t>預估</t>
    </r>
    <r>
      <rPr>
        <sz val="12"/>
        <color rgb="FF0000FF"/>
        <rFont val="微軟正黑體"/>
        <family val="2"/>
        <charset val="136"/>
      </rPr>
      <t>「</t>
    </r>
    <r>
      <rPr>
        <b/>
        <sz val="12"/>
        <color rgb="FF003399"/>
        <rFont val="微軟正黑體"/>
        <family val="2"/>
        <charset val="136"/>
      </rPr>
      <t>退休前</t>
    </r>
    <r>
      <rPr>
        <sz val="12"/>
        <color rgb="FF0000FF"/>
        <rFont val="微軟正黑體"/>
        <family val="2"/>
        <charset val="136"/>
      </rPr>
      <t>」</t>
    </r>
    <r>
      <rPr>
        <sz val="12"/>
        <color theme="1" tint="0.249977111117893"/>
        <rFont val="微軟正黑體"/>
        <family val="2"/>
        <charset val="136"/>
      </rPr>
      <t>的投資報酬率</t>
    </r>
    <phoneticPr fontId="7" type="noConversion"/>
  </si>
  <si>
    <r>
      <t>預估退休後可請領</t>
    </r>
    <r>
      <rPr>
        <b/>
        <sz val="12"/>
        <color rgb="FF003399"/>
        <rFont val="微軟正黑體"/>
        <family val="2"/>
        <charset val="136"/>
      </rPr>
      <t>每月年金</t>
    </r>
    <r>
      <rPr>
        <sz val="12"/>
        <color theme="1"/>
        <rFont val="微軟正黑體"/>
        <family val="2"/>
        <charset val="136"/>
      </rPr>
      <t>（勞退＋老年）</t>
    </r>
    <phoneticPr fontId="7" type="noConversion"/>
  </si>
  <si>
    <t>國內研究所</t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</si>
  <si>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(3)</t>
    </r>
    <phoneticPr fontId="6" type="noConversion"/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</si>
  <si>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(4)</t>
    </r>
    <phoneticPr fontId="6" type="noConversion"/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</si>
  <si>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(5)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</si>
  <si>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(6)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</si>
  <si>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(5)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</si>
  <si>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(4)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</si>
  <si>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(3)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</si>
  <si>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(2)</t>
    </r>
    <phoneticPr fontId="6" type="noConversion"/>
  </si>
  <si>
    <r>
      <rPr>
        <sz val="12"/>
        <color theme="0"/>
        <rFont val="微軟正黑體"/>
        <family val="2"/>
        <charset val="136"/>
      </rPr>
      <t>資產累計</t>
    </r>
    <r>
      <rPr>
        <sz val="12"/>
        <color theme="0"/>
        <rFont val="Arial"/>
        <family val="2"/>
      </rPr>
      <t>(1)</t>
    </r>
    <phoneticPr fontId="6" type="noConversion"/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</si>
  <si>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(1)</t>
    </r>
    <phoneticPr fontId="6" type="noConversion"/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</si>
  <si>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(2)</t>
    </r>
    <phoneticPr fontId="6" type="noConversion"/>
  </si>
  <si>
    <r>
      <rPr>
        <sz val="12"/>
        <color theme="0"/>
        <rFont val="微軟正黑體"/>
        <family val="2"/>
        <charset val="136"/>
      </rPr>
      <t>目前資產</t>
    </r>
    <r>
      <rPr>
        <sz val="12"/>
        <color theme="0"/>
        <rFont val="Arial"/>
        <family val="2"/>
      </rPr>
      <t>(0)</t>
    </r>
    <phoneticPr fontId="6" type="noConversion"/>
  </si>
  <si>
    <t>資產配置分析</t>
    <phoneticPr fontId="6" type="noConversion"/>
  </si>
  <si>
    <t>照護險一次性</t>
    <phoneticPr fontId="6" type="noConversion"/>
  </si>
  <si>
    <t>照護險每月給付</t>
    <phoneticPr fontId="6" type="noConversion"/>
  </si>
  <si>
    <t>保險種類</t>
    <phoneticPr fontId="6" type="noConversion"/>
  </si>
  <si>
    <r>
      <t>資產累計</t>
    </r>
    <r>
      <rPr>
        <sz val="12"/>
        <color theme="0"/>
        <rFont val="Arial"/>
        <family val="2"/>
      </rPr>
      <t>(9)</t>
    </r>
    <phoneticPr fontId="6" type="noConversion"/>
  </si>
  <si>
    <r>
      <t>目前資產</t>
    </r>
    <r>
      <rPr>
        <sz val="12"/>
        <color theme="0"/>
        <rFont val="Arial"/>
        <family val="2"/>
      </rPr>
      <t>(6)</t>
    </r>
    <phoneticPr fontId="6" type="noConversion"/>
  </si>
  <si>
    <r>
      <t>目前資產</t>
    </r>
    <r>
      <rPr>
        <sz val="12"/>
        <color theme="0"/>
        <rFont val="Arial"/>
        <family val="2"/>
      </rPr>
      <t>(7)</t>
    </r>
    <phoneticPr fontId="6" type="noConversion"/>
  </si>
  <si>
    <r>
      <t>目前資產</t>
    </r>
    <r>
      <rPr>
        <sz val="12"/>
        <color theme="0"/>
        <rFont val="Arial"/>
        <family val="2"/>
      </rPr>
      <t>(8)</t>
    </r>
    <phoneticPr fontId="6" type="noConversion"/>
  </si>
  <si>
    <r>
      <t>資產累計</t>
    </r>
    <r>
      <rPr>
        <sz val="12"/>
        <color theme="0"/>
        <rFont val="Arial"/>
        <family val="2"/>
      </rPr>
      <t>(7)</t>
    </r>
    <phoneticPr fontId="6" type="noConversion"/>
  </si>
  <si>
    <r>
      <t>資產累計</t>
    </r>
    <r>
      <rPr>
        <sz val="12"/>
        <color theme="0"/>
        <rFont val="Arial"/>
        <family val="2"/>
      </rPr>
      <t>(8)</t>
    </r>
    <phoneticPr fontId="6" type="noConversion"/>
  </si>
  <si>
    <r>
      <rPr>
        <sz val="12"/>
        <color rgb="FF003399"/>
        <rFont val="微軟正黑體"/>
        <family val="2"/>
        <charset val="136"/>
      </rPr>
      <t>查詢第</t>
    </r>
    <r>
      <rPr>
        <sz val="12"/>
        <color rgb="FF003399"/>
        <rFont val="Arial Black"/>
        <family val="2"/>
      </rPr>
      <t>N</t>
    </r>
    <r>
      <rPr>
        <sz val="12"/>
        <color rgb="FF003399"/>
        <rFont val="微軟正黑體"/>
        <family val="2"/>
        <charset val="136"/>
      </rPr>
      <t>期本金</t>
    </r>
    <phoneticPr fontId="52" type="noConversion"/>
  </si>
  <si>
    <r>
      <rPr>
        <sz val="12"/>
        <color theme="0"/>
        <rFont val="Arial"/>
        <family val="2"/>
      </rPr>
      <t>(3)</t>
    </r>
    <r>
      <rPr>
        <sz val="12"/>
        <color theme="0"/>
        <rFont val="微軟正黑體"/>
        <family val="2"/>
        <charset val="136"/>
      </rPr>
      <t>房屋貸款金額</t>
    </r>
    <r>
      <rPr>
        <sz val="12"/>
        <color theme="0"/>
        <rFont val="Arial"/>
        <family val="2"/>
      </rPr>
      <t>(1)-(2)</t>
    </r>
    <r>
      <rPr>
        <sz val="12"/>
        <color theme="0"/>
        <rFont val="微軟正黑體"/>
        <family val="2"/>
        <charset val="136"/>
      </rPr>
      <t>+</t>
    </r>
    <r>
      <rPr>
        <sz val="12"/>
        <color theme="0"/>
        <rFont val="Arial"/>
        <family val="2"/>
      </rPr>
      <t>(4)</t>
    </r>
    <phoneticPr fontId="52" type="noConversion"/>
  </si>
  <si>
    <t>保養費</t>
  </si>
  <si>
    <t>★★★</t>
  </si>
  <si>
    <r>
      <rPr>
        <b/>
        <sz val="10"/>
        <color theme="1"/>
        <rFont val="Microsoft JhengHei UI"/>
        <family val="2"/>
        <charset val="136"/>
      </rPr>
      <t>※</t>
    </r>
    <r>
      <rPr>
        <b/>
        <sz val="10"/>
        <color theme="1"/>
        <rFont val="微軟正黑體"/>
        <family val="2"/>
        <charset val="136"/>
      </rPr>
      <t>收支表說明</t>
    </r>
    <phoneticPr fontId="6" type="noConversion"/>
  </si>
  <si>
    <t>目標終值</t>
    <phoneticPr fontId="6" type="noConversion"/>
  </si>
  <si>
    <t>★★★★★</t>
  </si>
  <si>
    <r>
      <t>壽險應備(子女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微軟正黑體"/>
        <family val="2"/>
        <charset val="136"/>
      </rPr>
      <t>)</t>
    </r>
    <phoneticPr fontId="7" type="noConversion"/>
  </si>
  <si>
    <t>壽險應備(子女2)</t>
    <phoneticPr fontId="7" type="noConversion"/>
  </si>
  <si>
    <r>
      <rPr>
        <sz val="12"/>
        <color rgb="FFFF0000"/>
        <rFont val="Microsoft JhengHei UI"/>
        <family val="2"/>
        <charset val="136"/>
      </rPr>
      <t>※</t>
    </r>
    <r>
      <rPr>
        <sz val="12"/>
        <color rgb="FFFF0000"/>
        <rFont val="微軟正黑體"/>
        <family val="2"/>
        <charset val="136"/>
      </rPr>
      <t>學費參考需定期更新</t>
    </r>
    <phoneticPr fontId="6" type="noConversion"/>
  </si>
  <si>
    <t>安親班需求時間，與費用不一</t>
    <phoneticPr fontId="6" type="noConversion"/>
  </si>
  <si>
    <t>請自行視案例需求輸入</t>
    <phoneticPr fontId="6" type="noConversion"/>
  </si>
  <si>
    <r>
      <rPr>
        <b/>
        <sz val="12"/>
        <color rgb="FFFF0000"/>
        <rFont val="Microsoft JhengHei UI"/>
        <family val="2"/>
        <charset val="136"/>
      </rPr>
      <t>※</t>
    </r>
    <r>
      <rPr>
        <b/>
        <sz val="12"/>
        <color rgb="FFFF0000"/>
        <rFont val="微軟正黑體"/>
        <family val="2"/>
        <charset val="136"/>
      </rPr>
      <t>裝潢費可納入貸款情況</t>
    </r>
    <phoneticPr fontId="52" type="noConversion"/>
  </si>
  <si>
    <t>退休年齡</t>
    <phoneticPr fontId="6" type="noConversion"/>
  </si>
  <si>
    <r>
      <t>預估</t>
    </r>
    <r>
      <rPr>
        <b/>
        <sz val="12"/>
        <color rgb="FFFF0000"/>
        <rFont val="微軟正黑體"/>
        <family val="2"/>
        <charset val="136"/>
      </rPr>
      <t>「退休後」</t>
    </r>
    <r>
      <rPr>
        <sz val="12"/>
        <color theme="1"/>
        <rFont val="微軟正黑體"/>
        <family val="2"/>
        <charset val="136"/>
      </rPr>
      <t>每月所需開銷（以目前現值估算）</t>
    </r>
    <phoneticPr fontId="7" type="noConversion"/>
  </si>
  <si>
    <t>水電瓦斯</t>
  </si>
  <si>
    <t>收視／網路</t>
  </si>
  <si>
    <t>管理費</t>
  </si>
  <si>
    <t>休閒旅遊</t>
  </si>
  <si>
    <t>房貸</t>
  </si>
  <si>
    <t>房屋／地價稅</t>
  </si>
  <si>
    <t>火災地震險</t>
  </si>
  <si>
    <t>購／換屋頭期款</t>
  </si>
  <si>
    <t>平均報酬率</t>
    <phoneticPr fontId="6" type="noConversion"/>
  </si>
  <si>
    <t>總資產</t>
    <phoneticPr fontId="6" type="noConversion"/>
  </si>
  <si>
    <r>
      <rPr>
        <sz val="12"/>
        <color theme="1"/>
        <rFont val="微軟正黑體"/>
        <family val="2"/>
        <charset val="136"/>
      </rPr>
      <t>退休後其他需準備的整筆開銷</t>
    </r>
    <r>
      <rPr>
        <sz val="12"/>
        <color theme="1"/>
        <rFont val="Arial"/>
        <family val="2"/>
      </rPr>
      <t xml:space="preserve"> (1)</t>
    </r>
    <phoneticPr fontId="7" type="noConversion"/>
  </si>
  <si>
    <r>
      <rPr>
        <sz val="12"/>
        <color theme="1"/>
        <rFont val="微軟正黑體"/>
        <family val="2"/>
        <charset val="136"/>
      </rPr>
      <t>退休後其他需準備的整筆開銷</t>
    </r>
    <r>
      <rPr>
        <sz val="12"/>
        <color theme="1"/>
        <rFont val="Arial"/>
        <family val="2"/>
      </rPr>
      <t xml:space="preserve"> (2)</t>
    </r>
  </si>
  <si>
    <r>
      <rPr>
        <sz val="12"/>
        <color theme="1"/>
        <rFont val="微軟正黑體"/>
        <family val="2"/>
        <charset val="136"/>
      </rPr>
      <t>退休後其他需準備的整筆開銷</t>
    </r>
    <r>
      <rPr>
        <sz val="12"/>
        <color theme="1"/>
        <rFont val="Arial"/>
        <family val="2"/>
      </rPr>
      <t xml:space="preserve"> (3)</t>
    </r>
  </si>
  <si>
    <r>
      <rPr>
        <sz val="12"/>
        <color theme="1"/>
        <rFont val="微軟正黑體"/>
        <family val="2"/>
        <charset val="136"/>
      </rPr>
      <t>預估「退休後」可領的單筆退休金</t>
    </r>
    <r>
      <rPr>
        <sz val="12"/>
        <color theme="1"/>
        <rFont val="Arial"/>
        <family val="2"/>
      </rPr>
      <t>(1)</t>
    </r>
    <phoneticPr fontId="6" type="noConversion"/>
  </si>
  <si>
    <r>
      <rPr>
        <sz val="12"/>
        <color theme="1" tint="0.14999847407452621"/>
        <rFont val="微軟正黑體"/>
        <family val="2"/>
        <charset val="136"/>
      </rPr>
      <t>預估「退休後」可領的單筆退休金</t>
    </r>
    <r>
      <rPr>
        <sz val="12"/>
        <color theme="1" tint="0.14999847407452621"/>
        <rFont val="Arial"/>
        <family val="2"/>
      </rPr>
      <t>(2)</t>
    </r>
    <phoneticPr fontId="6" type="noConversion"/>
  </si>
  <si>
    <r>
      <rPr>
        <sz val="12"/>
        <color theme="1"/>
        <rFont val="微軟正黑體"/>
        <family val="2"/>
        <charset val="136"/>
      </rPr>
      <t>ｃ</t>
    </r>
    <phoneticPr fontId="6" type="noConversion"/>
  </si>
  <si>
    <t>年終獎金</t>
  </si>
  <si>
    <t>佣金</t>
  </si>
  <si>
    <t>自用住宅抵押貸款</t>
  </si>
  <si>
    <t>投資住宅房貸</t>
  </si>
  <si>
    <t>投資住宅抵押貸款</t>
  </si>
  <si>
    <t>短期票券</t>
  </si>
  <si>
    <t>投資住宅</t>
  </si>
  <si>
    <t>辦公室</t>
  </si>
  <si>
    <t>通行費</t>
  </si>
  <si>
    <t>車險</t>
  </si>
  <si>
    <t>影視娛樂</t>
  </si>
  <si>
    <t>公關送禮</t>
  </si>
  <si>
    <t>車貸</t>
  </si>
  <si>
    <t>存股</t>
  </si>
  <si>
    <t>保單貸款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</si>
</sst>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;[Red]\-&quot;$&quot;#,##0.00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%;;"/>
    <numFmt numFmtId="178" formatCode="#,##0_);[Red]\(#,##0\);"/>
    <numFmt numFmtId="179" formatCode="0.0%"/>
    <numFmt numFmtId="180" formatCode="0.0%;"/>
    <numFmt numFmtId="181" formatCode="0.0_ "/>
    <numFmt numFmtId="182" formatCode="General&quot;歲&quot;"/>
    <numFmt numFmtId="183" formatCode="#,##0_)&quot;萬&quot;;[Red]\(#,##0\)&quot;萬&quot;"/>
    <numFmt numFmtId="184" formatCode="&quot;$&quot;#,##0"/>
    <numFmt numFmtId="185" formatCode="#,##0_)&quot;萬&quot;;[Red]\(#,##0\)"/>
    <numFmt numFmtId="186" formatCode="0%;[Red]0%;"/>
    <numFmt numFmtId="187" formatCode="0.0%;[Red]0.0%;"/>
    <numFmt numFmtId="188" formatCode="_-* #,##0_-;\-* #,##0_-;_-* &quot;-&quot;??_-;_-@_-"/>
    <numFmt numFmtId="189" formatCode="#,##0.00&quot;萬&quot;"/>
    <numFmt numFmtId="190" formatCode="#,##0&quot;萬&quot;"/>
    <numFmt numFmtId="191" formatCode="General&quot;年&quot;"/>
    <numFmt numFmtId="192" formatCode="#,##0.0&quot;萬&quot;"/>
    <numFmt numFmtId="193" formatCode="General&quot;期&quot;"/>
    <numFmt numFmtId="194" formatCode="&quot;第&quot;000&quot;期開始&quot;"/>
    <numFmt numFmtId="195" formatCode="&quot;第&quot;000&quot;期結束&quot;"/>
    <numFmt numFmtId="196" formatCode="0.00_ &quot;年&quot;"/>
    <numFmt numFmtId="197" formatCode="#,##0.00_)&quot;萬&quot;;[Red]\(#,##0.00\)"/>
    <numFmt numFmtId="198" formatCode="#,##0_)&quot;元&quot;;[Red]\(#,##0\)"/>
    <numFmt numFmtId="199" formatCode="#,##0.00_)&quot;萬&quot;;[Red]\(#,##0.00\)&quot;萬&quot;"/>
    <numFmt numFmtId="200" formatCode="0.00_ "/>
    <numFmt numFmtId="201" formatCode=";;;"/>
    <numFmt numFmtId="202" formatCode="0.0%;[Red]\(0.0%\);"/>
    <numFmt numFmtId="203" formatCode="&quot;公立&quot;_-* #,##0_-;\-* #,##0_-;_-* &quot;-&quot;_-;_-@_-"/>
    <numFmt numFmtId="204" formatCode="&quot;私立&quot;_-* #,##0_-;\-* #,##0_-;_-* &quot;-&quot;_-;_-@_-"/>
    <numFmt numFmtId="205" formatCode="General&quot;年&quot;;;"/>
    <numFmt numFmtId="206" formatCode="&quot;客戶現年&quot;General&quot;歲&quot;"/>
    <numFmt numFmtId="207" formatCode="#,##0.00_)&quot;萬&quot;;[Red]\(#,##0.00\);\-_)&quot;萬&quot;"/>
  </numFmts>
  <fonts count="133" x14ac:knownFonts="1"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0000FF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Calibri"/>
      <family val="2"/>
    </font>
    <font>
      <sz val="10"/>
      <color theme="1" tint="0.249977111117893"/>
      <name val="思源黑体 CN Normal"/>
      <family val="2"/>
      <charset val="128"/>
    </font>
    <font>
      <sz val="10"/>
      <color rgb="FF0000FF"/>
      <name val="Arial"/>
      <family val="2"/>
    </font>
    <font>
      <b/>
      <sz val="10"/>
      <color theme="1" tint="0.249977111117893"/>
      <name val="微軟正黑體"/>
      <family val="2"/>
      <charset val="136"/>
    </font>
    <font>
      <sz val="10"/>
      <color theme="1" tint="0.249977111117893"/>
      <name val="微軟正黑體"/>
      <family val="2"/>
      <charset val="136"/>
    </font>
    <font>
      <sz val="10"/>
      <color theme="1" tint="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0000FF"/>
      <name val="Arial Black"/>
      <family val="2"/>
    </font>
    <font>
      <sz val="10"/>
      <color theme="1"/>
      <name val="思源黑体 CN Normal"/>
      <family val="2"/>
      <charset val="128"/>
    </font>
    <font>
      <sz val="10"/>
      <color theme="1"/>
      <name val="微軟正黑體"/>
      <family val="2"/>
      <charset val="136"/>
    </font>
    <font>
      <sz val="10"/>
      <color theme="1"/>
      <name val="Arial Black"/>
      <family val="2"/>
    </font>
    <font>
      <b/>
      <sz val="14"/>
      <color rgb="FF0000FF"/>
      <name val="Arial"/>
      <family val="2"/>
    </font>
    <font>
      <b/>
      <sz val="14"/>
      <color rgb="FF0000FF"/>
      <name val="微軟正黑體"/>
      <family val="2"/>
      <charset val="136"/>
    </font>
    <font>
      <sz val="10"/>
      <color theme="1" tint="0.24997711111789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Microsoft JhengHei UI"/>
      <family val="2"/>
    </font>
    <font>
      <sz val="12"/>
      <color theme="1" tint="0.499984740745262"/>
      <name val="Arial"/>
      <family val="2"/>
    </font>
    <font>
      <sz val="12"/>
      <color theme="1"/>
      <name val="標楷體"/>
      <family val="4"/>
      <charset val="136"/>
    </font>
    <font>
      <sz val="12"/>
      <color theme="2" tint="-0.499984740745262"/>
      <name val="Arial"/>
      <family val="2"/>
    </font>
    <font>
      <sz val="10"/>
      <color theme="0" tint="-0.499984740745262"/>
      <name val="Arial Black"/>
      <family val="2"/>
    </font>
    <font>
      <sz val="10"/>
      <color theme="1" tint="0.499984740745262"/>
      <name val="微軟正黑體"/>
      <family val="2"/>
      <charset val="136"/>
    </font>
    <font>
      <b/>
      <sz val="10"/>
      <color theme="1" tint="0.249977111117893"/>
      <name val="思源黑体 CN Normal"/>
      <family val="2"/>
      <charset val="128"/>
    </font>
    <font>
      <sz val="10"/>
      <color theme="1" tint="0.499984740745262"/>
      <name val="Arial Black"/>
      <family val="2"/>
    </font>
    <font>
      <sz val="10"/>
      <color theme="1" tint="0.34998626667073579"/>
      <name val="Arial Black"/>
      <family val="2"/>
    </font>
    <font>
      <sz val="10"/>
      <color rgb="FF00B0F0"/>
      <name val="Arial Black"/>
      <family val="2"/>
    </font>
    <font>
      <sz val="10"/>
      <color rgb="FF0070C0"/>
      <name val="Arial"/>
      <family val="2"/>
    </font>
    <font>
      <sz val="10"/>
      <color rgb="FF0070C0"/>
      <name val="微軟正黑體"/>
      <family val="2"/>
      <charset val="136"/>
    </font>
    <font>
      <b/>
      <sz val="10"/>
      <color rgb="FF0070C0"/>
      <name val="Arial"/>
      <family val="2"/>
    </font>
    <font>
      <b/>
      <sz val="10"/>
      <color rgb="FF0070C0"/>
      <name val="微軟正黑體"/>
      <family val="2"/>
      <charset val="136"/>
    </font>
    <font>
      <b/>
      <sz val="10"/>
      <color rgb="FF0070C0"/>
      <name val="微軟正黑體"/>
      <family val="1"/>
      <charset val="136"/>
    </font>
    <font>
      <b/>
      <sz val="10"/>
      <color rgb="FF0070C0"/>
      <name val="新細明體"/>
      <family val="1"/>
      <charset val="136"/>
      <scheme val="minor"/>
    </font>
    <font>
      <sz val="10"/>
      <color theme="1" tint="0.249977111117893"/>
      <name val="Arial Black"/>
      <family val="2"/>
    </font>
    <font>
      <b/>
      <sz val="10"/>
      <color theme="1"/>
      <name val="思源黑体 CN Normal"/>
      <family val="2"/>
      <charset val="128"/>
    </font>
    <font>
      <b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color theme="0"/>
      <name val="Arial"/>
      <family val="2"/>
    </font>
    <font>
      <b/>
      <sz val="14"/>
      <color theme="1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b/>
      <sz val="9"/>
      <color indexed="81"/>
      <name val="Arial"/>
      <family val="2"/>
    </font>
    <font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FF0000"/>
      <name val="Arial Black"/>
      <family val="2"/>
    </font>
    <font>
      <sz val="14"/>
      <color theme="1"/>
      <name val="微軟正黑體"/>
      <family val="2"/>
      <charset val="136"/>
    </font>
    <font>
      <sz val="14"/>
      <color theme="1" tint="0.499984740745262"/>
      <name val="Arial"/>
      <family val="2"/>
    </font>
    <font>
      <sz val="14"/>
      <color theme="1" tint="0.499984740745262"/>
      <name val="Arial Black"/>
      <family val="2"/>
    </font>
    <font>
      <sz val="14"/>
      <color rgb="FF0000FF"/>
      <name val="Arial Black"/>
      <family val="2"/>
    </font>
    <font>
      <sz val="12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3"/>
      <color theme="0"/>
      <name val="微軟正黑體"/>
      <family val="2"/>
      <charset val="136"/>
    </font>
    <font>
      <b/>
      <sz val="12"/>
      <color theme="0"/>
      <name val="Arial Black"/>
      <family val="2"/>
    </font>
    <font>
      <sz val="14"/>
      <color theme="0"/>
      <name val="Arial Black"/>
      <family val="2"/>
    </font>
    <font>
      <sz val="13"/>
      <color theme="0"/>
      <name val="Arial Black"/>
      <family val="2"/>
    </font>
    <font>
      <sz val="12"/>
      <color rgb="FF0000FF"/>
      <name val="Arial"/>
      <family val="2"/>
    </font>
    <font>
      <b/>
      <sz val="14"/>
      <color theme="0"/>
      <name val="微軟正黑體"/>
      <family val="2"/>
      <charset val="136"/>
    </font>
    <font>
      <b/>
      <sz val="12"/>
      <color rgb="FFFF3300"/>
      <name val="微軟正黑體"/>
      <family val="2"/>
      <charset val="136"/>
    </font>
    <font>
      <sz val="12"/>
      <color theme="1" tint="0.249977111117893"/>
      <name val="Arial"/>
      <family val="2"/>
    </font>
    <font>
      <sz val="11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 tint="0.249977111117893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2"/>
      <color rgb="FFFF3300"/>
      <name val="Microsoft JhengHei Light"/>
      <family val="2"/>
      <charset val="136"/>
    </font>
    <font>
      <sz val="12"/>
      <color rgb="FF00B050"/>
      <name val="Arial Black"/>
      <family val="2"/>
    </font>
    <font>
      <sz val="14"/>
      <color rgb="FF00B050"/>
      <name val="Arial Black"/>
      <family val="2"/>
    </font>
    <font>
      <sz val="12"/>
      <color rgb="FF0070C0"/>
      <name val="Arial Black"/>
      <family val="2"/>
    </font>
    <font>
      <sz val="12"/>
      <color theme="1"/>
      <name val="Arial Black"/>
      <family val="2"/>
    </font>
    <font>
      <sz val="10"/>
      <color indexed="81"/>
      <name val="微軟正黑體"/>
      <family val="2"/>
      <charset val="136"/>
    </font>
    <font>
      <sz val="9"/>
      <color indexed="81"/>
      <name val="微軟正黑體"/>
      <family val="2"/>
      <charset val="136"/>
    </font>
    <font>
      <sz val="12"/>
      <color theme="1" tint="0.14999847407452621"/>
      <name val="微軟正黑體"/>
      <family val="2"/>
      <charset val="136"/>
    </font>
    <font>
      <sz val="12"/>
      <color rgb="FF2FA6FF"/>
      <name val="Arial"/>
      <family val="2"/>
    </font>
    <font>
      <sz val="12"/>
      <color theme="1" tint="0.499984740745262"/>
      <name val="Arial Black"/>
      <family val="2"/>
    </font>
    <font>
      <sz val="10"/>
      <color rgb="FF0000FF"/>
      <name val="微軟正黑體"/>
      <family val="2"/>
      <charset val="136"/>
    </font>
    <font>
      <sz val="12"/>
      <color rgb="FF008DF6"/>
      <name val="Arial Black"/>
      <family val="2"/>
    </font>
    <font>
      <sz val="14"/>
      <color rgb="FF0070C0"/>
      <name val="Arial Black"/>
      <family val="2"/>
    </font>
    <font>
      <sz val="12"/>
      <color rgb="FF2FA6FF"/>
      <name val="Arial Black"/>
      <family val="2"/>
    </font>
    <font>
      <sz val="12"/>
      <color rgb="FFC00000"/>
      <name val="Arial Black"/>
      <family val="2"/>
    </font>
    <font>
      <sz val="12"/>
      <color rgb="FF0070C0"/>
      <name val="微軟正黑體"/>
      <family val="2"/>
      <charset val="136"/>
    </font>
    <font>
      <sz val="12"/>
      <color rgb="FF0070C0"/>
      <name val="Arial"/>
      <family val="2"/>
    </font>
    <font>
      <sz val="12"/>
      <color theme="1" tint="0.499984740745262"/>
      <name val="微軟正黑體"/>
      <family val="2"/>
      <charset val="136"/>
    </font>
    <font>
      <sz val="10"/>
      <color theme="1" tint="0.249977111117893"/>
      <name val="Arial"/>
      <family val="2"/>
      <charset val="136"/>
    </font>
    <font>
      <b/>
      <sz val="14"/>
      <color rgb="FF0070C0"/>
      <name val="微軟正黑體"/>
      <family val="2"/>
      <charset val="136"/>
    </font>
    <font>
      <sz val="10"/>
      <color theme="1" tint="0.249977111117893"/>
      <name val="新細明體"/>
      <family val="1"/>
      <charset val="136"/>
      <scheme val="major"/>
    </font>
    <font>
      <sz val="10"/>
      <color theme="1" tint="0.249977111117893"/>
      <name val="微軟正黑體"/>
      <family val="1"/>
      <charset val="136"/>
    </font>
    <font>
      <sz val="10"/>
      <color theme="0"/>
      <name val="新細明體"/>
      <family val="2"/>
      <charset val="136"/>
      <scheme val="minor"/>
    </font>
    <font>
      <sz val="10"/>
      <color theme="0"/>
      <name val="Arial"/>
      <family val="2"/>
    </font>
    <font>
      <sz val="10"/>
      <color theme="0"/>
      <name val="微軟正黑體"/>
      <family val="2"/>
      <charset val="136"/>
    </font>
    <font>
      <b/>
      <sz val="14"/>
      <color rgb="FF3333FF"/>
      <name val="微軟正黑體"/>
      <family val="2"/>
      <charset val="136"/>
    </font>
    <font>
      <sz val="11"/>
      <color theme="1" tint="0.499984740745262"/>
      <name val="微軟正黑體"/>
      <family val="2"/>
      <charset val="136"/>
    </font>
    <font>
      <sz val="12"/>
      <color rgb="FFFFC000"/>
      <name val="微軟正黑體"/>
      <family val="2"/>
      <charset val="136"/>
    </font>
    <font>
      <sz val="12"/>
      <color rgb="FFFFC000"/>
      <name val="新細明體"/>
      <family val="1"/>
      <charset val="136"/>
      <scheme val="major"/>
    </font>
    <font>
      <sz val="12"/>
      <color rgb="FF3333FF"/>
      <name val="微軟正黑體"/>
      <family val="2"/>
      <charset val="136"/>
    </font>
    <font>
      <b/>
      <sz val="12"/>
      <color rgb="FF003399"/>
      <name val="微軟正黑體"/>
      <family val="2"/>
      <charset val="136"/>
    </font>
    <font>
      <sz val="12"/>
      <color rgb="FF003399"/>
      <name val="Arial Black"/>
      <family val="2"/>
    </font>
    <font>
      <sz val="12"/>
      <color rgb="FF003399"/>
      <name val="Arial"/>
      <family val="2"/>
    </font>
    <font>
      <sz val="10"/>
      <color rgb="FF003399"/>
      <name val="Arial Black"/>
      <family val="2"/>
    </font>
    <font>
      <sz val="9"/>
      <color rgb="FF000000"/>
      <name val="Microsoft JhengHei UI"/>
      <family val="2"/>
      <charset val="136"/>
    </font>
    <font>
      <sz val="12"/>
      <color theme="0"/>
      <name val="Arial"/>
      <family val="2"/>
      <charset val="136"/>
    </font>
    <font>
      <strike/>
      <sz val="12"/>
      <color rgb="FFFFC000"/>
      <name val="新細明體"/>
      <family val="1"/>
      <charset val="136"/>
      <scheme val="major"/>
    </font>
    <font>
      <sz val="12"/>
      <color theme="0" tint="-4.9989318521683403E-2"/>
      <name val="微軟正黑體"/>
      <family val="2"/>
      <charset val="136"/>
    </font>
    <font>
      <sz val="12"/>
      <color theme="0" tint="-4.9989318521683403E-2"/>
      <name val="Arial"/>
      <family val="2"/>
    </font>
    <font>
      <sz val="10"/>
      <color theme="0" tint="-4.9989318521683403E-2"/>
      <name val="微軟正黑體"/>
      <family val="2"/>
      <charset val="136"/>
    </font>
    <font>
      <sz val="12"/>
      <color rgb="FF003399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1"/>
      <color rgb="FF003399"/>
      <name val="微軟正黑體"/>
      <family val="2"/>
      <charset val="136"/>
    </font>
    <font>
      <b/>
      <sz val="10"/>
      <color rgb="FFFF0000"/>
      <name val="Arial"/>
      <family val="2"/>
    </font>
    <font>
      <b/>
      <sz val="14"/>
      <color rgb="FF0033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0"/>
      <color theme="1"/>
      <name val="Microsoft JhengHei UI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theme="1"/>
      <name val="新細明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3399"/>
      <name val="微軟正黑體"/>
      <family val="2"/>
      <charset val="136"/>
    </font>
    <font>
      <b/>
      <sz val="14"/>
      <color theme="1"/>
      <name val="Arial"/>
      <family val="2"/>
    </font>
    <font>
      <sz val="12"/>
      <color rgb="FFFF0000"/>
      <name val="Microsoft JhengHei UI"/>
      <family val="2"/>
      <charset val="136"/>
    </font>
    <font>
      <b/>
      <sz val="10"/>
      <color indexed="81"/>
      <name val="微軟正黑體"/>
      <family val="2"/>
      <charset val="136"/>
    </font>
    <font>
      <b/>
      <sz val="12"/>
      <color rgb="FFFF0000"/>
      <name val="Microsoft JhengHei UI"/>
      <family val="2"/>
      <charset val="136"/>
    </font>
    <font>
      <sz val="12"/>
      <color rgb="FF00B0F0"/>
      <name val="Arial Black"/>
      <family val="2"/>
    </font>
    <font>
      <sz val="12"/>
      <color rgb="FF0000FF"/>
      <name val="Arial Black"/>
      <family val="2"/>
    </font>
    <font>
      <b/>
      <sz val="12"/>
      <color rgb="FFFF3300"/>
      <name val="Arial"/>
      <family val="2"/>
    </font>
    <font>
      <sz val="12"/>
      <color theme="1" tint="0.1499984740745262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BDEEFF"/>
        <bgColor indexed="64"/>
      </patternFill>
    </fill>
    <fill>
      <patternFill patternType="solid">
        <fgColor rgb="FFF0B6B6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BE9E9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F9DFD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1E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EFF8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D9E6FF"/>
        <bgColor indexed="64"/>
      </patternFill>
    </fill>
  </fills>
  <borders count="174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double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double">
        <color theme="0" tint="-0.499984740745262"/>
      </right>
      <top style="medium">
        <color theme="1" tint="0.499984740745262"/>
      </top>
      <bottom/>
      <diagonal/>
    </border>
    <border>
      <left/>
      <right style="double">
        <color theme="0" tint="-0.499984740745262"/>
      </right>
      <top/>
      <bottom style="double">
        <color theme="1" tint="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/>
      <bottom style="double">
        <color theme="1" tint="0.499984740745262"/>
      </bottom>
      <diagonal/>
    </border>
    <border>
      <left/>
      <right style="double">
        <color theme="0" tint="-0.499984740745262"/>
      </right>
      <top/>
      <bottom style="hair">
        <color theme="1" tint="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/>
      <bottom style="hair">
        <color theme="1" tint="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 style="medium">
        <color theme="1" tint="0.499984740745262"/>
      </bottom>
      <diagonal/>
    </border>
    <border>
      <left style="double">
        <color theme="0" tint="-0.499984740745262"/>
      </left>
      <right/>
      <top/>
      <bottom style="medium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medium">
        <color theme="1" tint="0.24994659260841701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24994659260841701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24994659260841701"/>
      </right>
      <top/>
      <bottom style="thin">
        <color theme="0" tint="-0.499984740745262"/>
      </bottom>
      <diagonal/>
    </border>
    <border>
      <left/>
      <right style="medium">
        <color theme="1" tint="0.24994659260841701"/>
      </right>
      <top/>
      <bottom style="hair">
        <color theme="1" tint="0.499984740745262"/>
      </bottom>
      <diagonal/>
    </border>
    <border>
      <left/>
      <right style="medium">
        <color theme="1" tint="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24994659260841701"/>
      </right>
      <top style="hair">
        <color theme="1" tint="0.499984740745262"/>
      </top>
      <bottom/>
      <diagonal/>
    </border>
    <border>
      <left style="medium">
        <color theme="1" tint="0.2499465926084170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double">
        <color theme="0" tint="-0.499984740745262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hair">
        <color theme="1" tint="0.499984740745262"/>
      </right>
      <top/>
      <bottom style="double">
        <color theme="0" tint="-0.499984740745262"/>
      </bottom>
      <diagonal/>
    </border>
    <border>
      <left/>
      <right style="medium">
        <color theme="1" tint="0.24994659260841701"/>
      </right>
      <top/>
      <bottom style="double">
        <color theme="0" tint="-0.499984740745262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0" tint="-0.499984740745262"/>
      </bottom>
      <diagonal/>
    </border>
    <border>
      <left/>
      <right/>
      <top style="medium">
        <color theme="1" tint="0.24994659260841701"/>
      </top>
      <bottom style="double">
        <color theme="0" tint="-0.499984740745262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thick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499984740745262"/>
      </right>
      <top/>
      <bottom style="thick">
        <color theme="0" tint="-0.249977111117893"/>
      </bottom>
      <diagonal/>
    </border>
    <border>
      <left/>
      <right/>
      <top style="hair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double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uble">
        <color theme="1" tint="0.499984740745262"/>
      </bottom>
      <diagonal/>
    </border>
    <border>
      <left/>
      <right/>
      <top style="medium">
        <color theme="1" tint="0.499984740745262"/>
      </top>
      <bottom style="double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medium">
        <color theme="0"/>
      </right>
      <top style="thin">
        <color theme="0" tint="-0.24994659260841701"/>
      </top>
      <bottom style="medium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1" tint="0.499984740745262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1" tint="0.499984740745262"/>
      </top>
      <bottom style="thin">
        <color theme="0" tint="-0.24994659260841701"/>
      </bottom>
      <diagonal/>
    </border>
    <border>
      <left style="medium">
        <color theme="0"/>
      </left>
      <right style="thin">
        <color theme="0" tint="-0.24994659260841701"/>
      </right>
      <top style="hair">
        <color theme="1" tint="0.499984740745262"/>
      </top>
      <bottom style="dotted">
        <color theme="1" tint="0.499984740745262"/>
      </bottom>
      <diagonal/>
    </border>
    <border>
      <left style="medium">
        <color theme="0"/>
      </left>
      <right style="thin">
        <color theme="0" tint="-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/>
      <right style="hair">
        <color auto="1"/>
      </right>
      <top/>
      <bottom style="hair">
        <color theme="1" tint="0.499984740745262"/>
      </bottom>
      <diagonal/>
    </border>
    <border>
      <left/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auto="1"/>
      </right>
      <top style="hair">
        <color theme="1" tint="0.499984740745262"/>
      </top>
      <bottom/>
      <diagonal/>
    </border>
    <border>
      <left style="medium">
        <color theme="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/>
      <diagonal/>
    </border>
    <border>
      <left/>
      <right style="hair">
        <color auto="1"/>
      </right>
      <top/>
      <bottom style="double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double">
        <color theme="0" tint="-0.499984740745262"/>
      </bottom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hair">
        <color auto="1"/>
      </right>
      <top style="hair">
        <color theme="1" tint="0.499984740745262"/>
      </top>
      <bottom style="double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499984740745262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1" tint="0.499984740745262"/>
      </bottom>
      <diagonal/>
    </border>
    <border>
      <left style="thin">
        <color theme="0" tint="-0.24994659260841701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24994659260841701"/>
      </left>
      <right/>
      <top style="hair">
        <color theme="1" tint="0.499984740745262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 style="hair">
        <color theme="1" tint="0.499984740745262"/>
      </top>
      <bottom style="hair">
        <color theme="0" tint="-0.24994659260841701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0" tint="-0.499984740745262"/>
      </bottom>
      <diagonal/>
    </border>
    <border>
      <left/>
      <right/>
      <top style="hair">
        <color theme="1" tint="0.499984740745262"/>
      </top>
      <bottom style="hair">
        <color theme="0" tint="-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/>
      <bottom style="thick">
        <color theme="0" tint="-0.249977111117893"/>
      </bottom>
      <diagonal/>
    </border>
    <border>
      <left/>
      <right style="medium">
        <color theme="1" tint="0.499984740745262"/>
      </right>
      <top/>
      <bottom style="thick">
        <color theme="0" tint="-0.249977111117893"/>
      </bottom>
      <diagonal/>
    </border>
    <border>
      <left style="double">
        <color theme="0" tint="-0.499984740745262"/>
      </left>
      <right style="hair">
        <color theme="0" tint="-0.499984740745262"/>
      </right>
      <top/>
      <bottom style="double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double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medium">
        <color theme="1" tint="0.499984740745262"/>
      </right>
      <top/>
      <bottom style="hair">
        <color theme="0" tint="-0.499984740745262"/>
      </bottom>
      <diagonal/>
    </border>
    <border>
      <left/>
      <right/>
      <top style="double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hair">
        <color theme="0" tint="-0.499984740745262"/>
      </top>
      <bottom style="double">
        <color theme="1" tint="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medium">
        <color theme="1" tint="0.24994659260841701"/>
      </left>
      <right style="hair">
        <color theme="1" tint="0.499984740745262"/>
      </right>
      <top style="hair">
        <color theme="0" tint="-0.499984740745262"/>
      </top>
      <bottom style="double">
        <color theme="1" tint="0.24994659260841701"/>
      </bottom>
      <diagonal/>
    </border>
    <border>
      <left style="hair">
        <color theme="1" tint="0.499984740745262"/>
      </left>
      <right/>
      <top style="hair">
        <color theme="0" tint="-0.499984740745262"/>
      </top>
      <bottom style="double">
        <color theme="1" tint="0.24994659260841701"/>
      </bottom>
      <diagonal/>
    </border>
    <border>
      <left/>
      <right/>
      <top style="hair">
        <color theme="0" tint="-0.499984740745262"/>
      </top>
      <bottom style="double">
        <color theme="1" tint="0.24994659260841701"/>
      </bottom>
      <diagonal/>
    </border>
    <border>
      <left/>
      <right style="double">
        <color theme="0" tint="-0.499984740745262"/>
      </right>
      <top style="hair">
        <color theme="0" tint="-0.499984740745262"/>
      </top>
      <bottom style="double">
        <color theme="1" tint="0.24994659260841701"/>
      </bottom>
      <diagonal/>
    </border>
    <border>
      <left style="medium">
        <color theme="1" tint="0.24994659260841701"/>
      </left>
      <right style="hair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medium">
        <color theme="1" tint="0.24994659260841701"/>
      </right>
      <top style="double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1" tint="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98">
    <xf numFmtId="0" fontId="0" fillId="0" borderId="0" xfId="0">
      <alignment vertical="center"/>
    </xf>
    <xf numFmtId="0" fontId="8" fillId="0" borderId="0" xfId="3" applyFont="1">
      <alignment vertical="center"/>
    </xf>
    <xf numFmtId="178" fontId="14" fillId="0" borderId="8" xfId="3" applyNumberFormat="1" applyFont="1" applyBorder="1">
      <alignment vertical="center"/>
    </xf>
    <xf numFmtId="178" fontId="14" fillId="0" borderId="11" xfId="3" applyNumberFormat="1" applyFont="1" applyBorder="1">
      <alignment vertical="center"/>
    </xf>
    <xf numFmtId="178" fontId="14" fillId="5" borderId="5" xfId="3" applyNumberFormat="1" applyFont="1" applyFill="1" applyBorder="1">
      <alignment vertical="center"/>
    </xf>
    <xf numFmtId="178" fontId="14" fillId="0" borderId="14" xfId="3" applyNumberFormat="1" applyFont="1" applyBorder="1">
      <alignment vertical="center"/>
    </xf>
    <xf numFmtId="178" fontId="14" fillId="0" borderId="5" xfId="3" applyNumberFormat="1" applyFont="1" applyBorder="1">
      <alignment vertical="center"/>
    </xf>
    <xf numFmtId="177" fontId="8" fillId="0" borderId="0" xfId="3" applyNumberFormat="1" applyFont="1">
      <alignment vertical="center"/>
    </xf>
    <xf numFmtId="179" fontId="8" fillId="0" borderId="0" xfId="2" applyNumberFormat="1" applyFont="1">
      <alignment vertical="center"/>
    </xf>
    <xf numFmtId="0" fontId="22" fillId="0" borderId="0" xfId="3" applyFont="1">
      <alignment vertical="center"/>
    </xf>
    <xf numFmtId="0" fontId="22" fillId="2" borderId="20" xfId="3" applyFont="1" applyFill="1" applyBorder="1">
      <alignment vertical="center"/>
    </xf>
    <xf numFmtId="0" fontId="22" fillId="3" borderId="3" xfId="3" applyFont="1" applyFill="1" applyBorder="1">
      <alignment vertical="center"/>
    </xf>
    <xf numFmtId="0" fontId="22" fillId="0" borderId="15" xfId="3" applyFont="1" applyBorder="1">
      <alignment vertical="center"/>
    </xf>
    <xf numFmtId="0" fontId="22" fillId="0" borderId="16" xfId="3" applyFont="1" applyBorder="1" applyAlignment="1">
      <alignment horizontal="right" vertical="center"/>
    </xf>
    <xf numFmtId="0" fontId="22" fillId="0" borderId="21" xfId="3" applyFont="1" applyBorder="1" applyAlignment="1">
      <alignment horizontal="right" vertical="center"/>
    </xf>
    <xf numFmtId="0" fontId="22" fillId="0" borderId="22" xfId="3" applyFont="1" applyBorder="1">
      <alignment vertical="center"/>
    </xf>
    <xf numFmtId="0" fontId="22" fillId="0" borderId="18" xfId="3" applyFont="1" applyBorder="1" applyAlignment="1">
      <alignment horizontal="right" vertical="center"/>
    </xf>
    <xf numFmtId="0" fontId="22" fillId="6" borderId="4" xfId="3" applyFont="1" applyFill="1" applyBorder="1">
      <alignment vertical="center"/>
    </xf>
    <xf numFmtId="0" fontId="22" fillId="7" borderId="24" xfId="3" applyFont="1" applyFill="1" applyBorder="1">
      <alignment vertical="center"/>
    </xf>
    <xf numFmtId="0" fontId="22" fillId="0" borderId="17" xfId="3" applyFont="1" applyBorder="1">
      <alignment vertical="center"/>
    </xf>
    <xf numFmtId="0" fontId="22" fillId="0" borderId="30" xfId="3" applyFont="1" applyBorder="1" applyAlignment="1">
      <alignment horizontal="left" vertical="center" indent="1"/>
    </xf>
    <xf numFmtId="180" fontId="22" fillId="0" borderId="17" xfId="3" applyNumberFormat="1" applyFont="1" applyBorder="1">
      <alignment vertical="center"/>
    </xf>
    <xf numFmtId="0" fontId="13" fillId="0" borderId="30" xfId="3" applyFont="1" applyBorder="1" applyAlignment="1">
      <alignment horizontal="left" vertical="center" indent="1"/>
    </xf>
    <xf numFmtId="0" fontId="13" fillId="0" borderId="0" xfId="3" applyFont="1" applyAlignment="1">
      <alignment horizontal="left" vertical="center" indent="1"/>
    </xf>
    <xf numFmtId="180" fontId="22" fillId="0" borderId="0" xfId="3" applyNumberFormat="1" applyFont="1">
      <alignment vertical="center"/>
    </xf>
    <xf numFmtId="0" fontId="22" fillId="0" borderId="30" xfId="3" applyFont="1" applyBorder="1">
      <alignment vertical="center"/>
    </xf>
    <xf numFmtId="0" fontId="22" fillId="0" borderId="12" xfId="3" applyFont="1" applyBorder="1" applyAlignment="1">
      <alignment horizontal="right" vertical="center"/>
    </xf>
    <xf numFmtId="0" fontId="22" fillId="0" borderId="32" xfId="3" applyFont="1" applyBorder="1">
      <alignment vertical="center"/>
    </xf>
    <xf numFmtId="0" fontId="22" fillId="0" borderId="13" xfId="3" applyFont="1" applyBorder="1">
      <alignment vertical="center"/>
    </xf>
    <xf numFmtId="0" fontId="22" fillId="0" borderId="19" xfId="3" applyFont="1" applyBorder="1">
      <alignment vertical="center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23" fillId="0" borderId="0" xfId="3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33" xfId="0" applyBorder="1">
      <alignment vertical="center"/>
    </xf>
    <xf numFmtId="0" fontId="24" fillId="0" borderId="0" xfId="3" applyFont="1" applyAlignment="1">
      <alignment horizontal="center" vertical="center"/>
    </xf>
    <xf numFmtId="183" fontId="26" fillId="0" borderId="8" xfId="3" applyNumberFormat="1" applyFont="1" applyBorder="1" applyAlignment="1">
      <alignment horizontal="right" vertical="center"/>
    </xf>
    <xf numFmtId="182" fontId="26" fillId="0" borderId="8" xfId="3" applyNumberFormat="1" applyFont="1" applyBorder="1" applyAlignment="1">
      <alignment horizontal="center" vertical="center"/>
    </xf>
    <xf numFmtId="178" fontId="14" fillId="0" borderId="8" xfId="3" applyNumberFormat="1" applyFont="1" applyBorder="1" applyAlignment="1">
      <alignment horizontal="right" vertical="center"/>
    </xf>
    <xf numFmtId="178" fontId="14" fillId="0" borderId="33" xfId="3" applyNumberFormat="1" applyFont="1" applyBorder="1">
      <alignment vertical="center"/>
    </xf>
    <xf numFmtId="0" fontId="8" fillId="0" borderId="0" xfId="3" applyFont="1" applyBorder="1">
      <alignment vertical="center"/>
    </xf>
    <xf numFmtId="178" fontId="18" fillId="0" borderId="0" xfId="3" applyNumberFormat="1" applyFont="1" applyBorder="1" applyAlignment="1">
      <alignment vertical="center" wrapText="1"/>
    </xf>
    <xf numFmtId="0" fontId="18" fillId="0" borderId="0" xfId="3" applyFont="1" applyBorder="1" applyAlignment="1">
      <alignment horizontal="left" vertical="center" wrapText="1" indent="2"/>
    </xf>
    <xf numFmtId="0" fontId="17" fillId="0" borderId="0" xfId="3" applyFont="1" applyBorder="1">
      <alignment vertical="center"/>
    </xf>
    <xf numFmtId="0" fontId="17" fillId="0" borderId="0" xfId="3" applyFont="1" applyBorder="1" applyAlignment="1">
      <alignment horizontal="left" vertical="center" wrapText="1" indent="2"/>
    </xf>
    <xf numFmtId="0" fontId="17" fillId="0" borderId="0" xfId="3" applyFont="1" applyBorder="1" applyAlignment="1">
      <alignment horizontal="left" vertical="center" indent="2"/>
    </xf>
    <xf numFmtId="0" fontId="13" fillId="0" borderId="42" xfId="3" applyFont="1" applyBorder="1" applyAlignment="1">
      <alignment horizontal="left" vertical="center" wrapText="1" indent="1"/>
    </xf>
    <xf numFmtId="0" fontId="13" fillId="0" borderId="43" xfId="3" applyFont="1" applyBorder="1" applyAlignment="1">
      <alignment horizontal="left" vertical="center" wrapText="1" indent="1"/>
    </xf>
    <xf numFmtId="0" fontId="8" fillId="0" borderId="44" xfId="3" applyFont="1" applyBorder="1">
      <alignment vertical="center"/>
    </xf>
    <xf numFmtId="178" fontId="14" fillId="5" borderId="47" xfId="3" applyNumberFormat="1" applyFont="1" applyFill="1" applyBorder="1">
      <alignment vertical="center"/>
    </xf>
    <xf numFmtId="178" fontId="14" fillId="0" borderId="14" xfId="3" applyNumberFormat="1" applyFont="1" applyBorder="1" applyAlignment="1">
      <alignment horizontal="right" vertical="center"/>
    </xf>
    <xf numFmtId="178" fontId="34" fillId="4" borderId="47" xfId="3" applyNumberFormat="1" applyFont="1" applyFill="1" applyBorder="1" applyAlignment="1">
      <alignment vertical="center" wrapText="1"/>
    </xf>
    <xf numFmtId="0" fontId="8" fillId="0" borderId="56" xfId="3" applyFont="1" applyBorder="1">
      <alignment vertical="center"/>
    </xf>
    <xf numFmtId="178" fontId="18" fillId="0" borderId="56" xfId="3" applyNumberFormat="1" applyFont="1" applyBorder="1" applyAlignment="1">
      <alignment vertical="center" wrapText="1"/>
    </xf>
    <xf numFmtId="0" fontId="18" fillId="0" borderId="56" xfId="3" applyFont="1" applyBorder="1" applyAlignment="1">
      <alignment horizontal="left" vertical="center" wrapText="1" indent="2"/>
    </xf>
    <xf numFmtId="0" fontId="17" fillId="0" borderId="56" xfId="3" applyFont="1" applyBorder="1" applyAlignment="1">
      <alignment horizontal="left" vertical="center" wrapText="1" indent="2"/>
    </xf>
    <xf numFmtId="178" fontId="14" fillId="0" borderId="29" xfId="3" applyNumberFormat="1" applyFont="1" applyBorder="1">
      <alignment vertical="center"/>
    </xf>
    <xf numFmtId="0" fontId="37" fillId="5" borderId="51" xfId="3" applyFont="1" applyFill="1" applyBorder="1" applyAlignment="1">
      <alignment vertical="center" wrapText="1"/>
    </xf>
    <xf numFmtId="0" fontId="35" fillId="5" borderId="51" xfId="3" applyFont="1" applyFill="1" applyBorder="1" applyAlignment="1">
      <alignment vertical="center" wrapText="1"/>
    </xf>
    <xf numFmtId="0" fontId="39" fillId="5" borderId="43" xfId="3" applyFont="1" applyFill="1" applyBorder="1" applyAlignment="1">
      <alignment vertical="center" wrapText="1"/>
    </xf>
    <xf numFmtId="186" fontId="18" fillId="0" borderId="0" xfId="2" applyNumberFormat="1" applyFont="1" applyBorder="1" applyAlignment="1">
      <alignment horizontal="right" vertical="center" wrapText="1" indent="2"/>
    </xf>
    <xf numFmtId="0" fontId="8" fillId="0" borderId="42" xfId="3" applyFont="1" applyBorder="1" applyAlignment="1">
      <alignment horizontal="left" vertical="center" indent="1"/>
    </xf>
    <xf numFmtId="178" fontId="14" fillId="0" borderId="33" xfId="1" applyNumberFormat="1" applyFont="1" applyBorder="1">
      <alignment vertical="center"/>
    </xf>
    <xf numFmtId="178" fontId="14" fillId="0" borderId="29" xfId="1" applyNumberFormat="1" applyFont="1" applyBorder="1">
      <alignment vertical="center"/>
    </xf>
    <xf numFmtId="177" fontId="14" fillId="0" borderId="25" xfId="3" applyNumberFormat="1" applyFont="1" applyBorder="1" applyAlignment="1">
      <alignment vertical="center" wrapText="1"/>
    </xf>
    <xf numFmtId="177" fontId="14" fillId="0" borderId="54" xfId="3" applyNumberFormat="1" applyFont="1" applyBorder="1" applyAlignment="1">
      <alignment vertical="center" wrapText="1"/>
    </xf>
    <xf numFmtId="177" fontId="14" fillId="4" borderId="55" xfId="3" applyNumberFormat="1" applyFont="1" applyFill="1" applyBorder="1" applyAlignment="1">
      <alignment vertical="center" wrapText="1"/>
    </xf>
    <xf numFmtId="177" fontId="14" fillId="0" borderId="23" xfId="3" applyNumberFormat="1" applyFont="1" applyBorder="1" applyAlignment="1">
      <alignment vertical="center" wrapText="1"/>
    </xf>
    <xf numFmtId="177" fontId="14" fillId="0" borderId="53" xfId="3" applyNumberFormat="1" applyFont="1" applyBorder="1" applyAlignment="1">
      <alignment vertical="center" wrapText="1"/>
    </xf>
    <xf numFmtId="179" fontId="14" fillId="0" borderId="23" xfId="2" applyNumberFormat="1" applyFont="1" applyBorder="1">
      <alignment vertical="center"/>
    </xf>
    <xf numFmtId="179" fontId="33" fillId="4" borderId="23" xfId="2" applyNumberFormat="1" applyFont="1" applyFill="1" applyBorder="1" applyAlignment="1">
      <alignment vertical="center" wrapText="1"/>
    </xf>
    <xf numFmtId="178" fontId="11" fillId="0" borderId="0" xfId="3" applyNumberFormat="1" applyFont="1" applyBorder="1" applyAlignment="1">
      <alignment vertical="center" wrapText="1"/>
    </xf>
    <xf numFmtId="0" fontId="37" fillId="4" borderId="60" xfId="3" applyFont="1" applyFill="1" applyBorder="1" applyAlignment="1">
      <alignment vertical="center" wrapText="1"/>
    </xf>
    <xf numFmtId="0" fontId="13" fillId="0" borderId="62" xfId="3" applyFont="1" applyBorder="1" applyAlignment="1">
      <alignment horizontal="left" vertical="center" wrapText="1" indent="1"/>
    </xf>
    <xf numFmtId="177" fontId="15" fillId="0" borderId="65" xfId="3" applyNumberFormat="1" applyFont="1" applyBorder="1" applyAlignment="1">
      <alignment vertical="center" wrapText="1"/>
    </xf>
    <xf numFmtId="177" fontId="15" fillId="0" borderId="66" xfId="3" applyNumberFormat="1" applyFont="1" applyBorder="1" applyAlignment="1">
      <alignment vertical="center" wrapText="1"/>
    </xf>
    <xf numFmtId="0" fontId="13" fillId="0" borderId="67" xfId="3" applyFont="1" applyBorder="1" applyAlignment="1">
      <alignment horizontal="left" vertical="center" wrapText="1" indent="1"/>
    </xf>
    <xf numFmtId="0" fontId="37" fillId="4" borderId="68" xfId="3" applyFont="1" applyFill="1" applyBorder="1" applyAlignment="1">
      <alignment vertical="center" wrapText="1"/>
    </xf>
    <xf numFmtId="0" fontId="13" fillId="0" borderId="60" xfId="3" applyFont="1" applyBorder="1" applyAlignment="1">
      <alignment horizontal="left" vertical="center" wrapText="1" indent="1"/>
    </xf>
    <xf numFmtId="177" fontId="15" fillId="0" borderId="69" xfId="3" applyNumberFormat="1" applyFont="1" applyFill="1" applyBorder="1" applyAlignment="1">
      <alignment vertical="center" wrapText="1"/>
    </xf>
    <xf numFmtId="177" fontId="15" fillId="5" borderId="63" xfId="3" applyNumberFormat="1" applyFont="1" applyFill="1" applyBorder="1" applyAlignment="1">
      <alignment vertical="center" wrapText="1"/>
    </xf>
    <xf numFmtId="0" fontId="8" fillId="0" borderId="70" xfId="3" applyFont="1" applyBorder="1">
      <alignment vertical="center"/>
    </xf>
    <xf numFmtId="0" fontId="13" fillId="0" borderId="58" xfId="3" applyFont="1" applyBorder="1" applyAlignment="1">
      <alignment horizontal="left" vertical="center" wrapText="1" indent="1"/>
    </xf>
    <xf numFmtId="177" fontId="15" fillId="5" borderId="64" xfId="3" applyNumberFormat="1" applyFont="1" applyFill="1" applyBorder="1" applyAlignment="1">
      <alignment vertical="center" wrapText="1"/>
    </xf>
    <xf numFmtId="0" fontId="8" fillId="0" borderId="71" xfId="3" applyFont="1" applyBorder="1">
      <alignment vertical="center"/>
    </xf>
    <xf numFmtId="0" fontId="18" fillId="0" borderId="71" xfId="3" applyFont="1" applyBorder="1" applyAlignment="1">
      <alignment horizontal="right" vertical="center" wrapText="1"/>
    </xf>
    <xf numFmtId="179" fontId="14" fillId="0" borderId="69" xfId="2" applyNumberFormat="1" applyFont="1" applyBorder="1">
      <alignment vertical="center"/>
    </xf>
    <xf numFmtId="0" fontId="42" fillId="0" borderId="71" xfId="3" applyFont="1" applyBorder="1" applyAlignment="1">
      <alignment horizontal="left" vertical="center" indent="2"/>
    </xf>
    <xf numFmtId="177" fontId="15" fillId="5" borderId="65" xfId="3" applyNumberFormat="1" applyFont="1" applyFill="1" applyBorder="1" applyAlignment="1">
      <alignment vertical="center" wrapText="1"/>
    </xf>
    <xf numFmtId="0" fontId="18" fillId="0" borderId="71" xfId="3" applyFont="1" applyBorder="1" applyAlignment="1">
      <alignment horizontal="left" vertical="center" wrapText="1" indent="2"/>
    </xf>
    <xf numFmtId="177" fontId="15" fillId="0" borderId="59" xfId="3" applyNumberFormat="1" applyFont="1" applyBorder="1" applyAlignment="1">
      <alignment vertical="center" wrapText="1"/>
    </xf>
    <xf numFmtId="9" fontId="18" fillId="0" borderId="72" xfId="3" applyNumberFormat="1" applyFont="1" applyBorder="1" applyAlignment="1">
      <alignment horizontal="center" vertical="center" wrapText="1"/>
    </xf>
    <xf numFmtId="9" fontId="19" fillId="0" borderId="73" xfId="3" applyNumberFormat="1" applyFont="1" applyBorder="1" applyAlignment="1">
      <alignment horizontal="right" vertical="center" wrapText="1"/>
    </xf>
    <xf numFmtId="9" fontId="18" fillId="0" borderId="73" xfId="3" applyNumberFormat="1" applyFont="1" applyBorder="1" applyAlignment="1">
      <alignment horizontal="center" vertical="center" wrapText="1"/>
    </xf>
    <xf numFmtId="9" fontId="18" fillId="0" borderId="74" xfId="3" applyNumberFormat="1" applyFont="1" applyBorder="1" applyAlignment="1">
      <alignment horizontal="center" vertical="center" wrapText="1"/>
    </xf>
    <xf numFmtId="0" fontId="10" fillId="0" borderId="73" xfId="3" applyFont="1" applyBorder="1" applyAlignment="1">
      <alignment horizontal="right" vertical="center" wrapText="1"/>
    </xf>
    <xf numFmtId="177" fontId="16" fillId="0" borderId="75" xfId="3" applyNumberFormat="1" applyFont="1" applyBorder="1" applyAlignment="1">
      <alignment vertical="center" wrapText="1"/>
    </xf>
    <xf numFmtId="187" fontId="14" fillId="0" borderId="49" xfId="2" applyNumberFormat="1" applyFont="1" applyBorder="1">
      <alignment vertical="center"/>
    </xf>
    <xf numFmtId="0" fontId="44" fillId="2" borderId="1" xfId="3" applyFont="1" applyFill="1" applyBorder="1">
      <alignment vertical="center"/>
    </xf>
    <xf numFmtId="0" fontId="44" fillId="3" borderId="2" xfId="3" applyFont="1" applyFill="1" applyBorder="1">
      <alignment vertical="center"/>
    </xf>
    <xf numFmtId="178" fontId="32" fillId="6" borderId="5" xfId="3" applyNumberFormat="1" applyFont="1" applyFill="1" applyBorder="1">
      <alignment vertical="center"/>
    </xf>
    <xf numFmtId="0" fontId="14" fillId="0" borderId="7" xfId="3" applyFont="1" applyBorder="1" applyAlignment="1">
      <alignment horizontal="left" vertical="center" indent="1"/>
    </xf>
    <xf numFmtId="0" fontId="14" fillId="0" borderId="10" xfId="3" applyFont="1" applyBorder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76" fontId="26" fillId="0" borderId="0" xfId="1" applyNumberFormat="1" applyFont="1" applyFill="1" applyBorder="1" applyAlignment="1" applyProtection="1">
      <alignment horizontal="right" vertical="center"/>
      <protection hidden="1"/>
    </xf>
    <xf numFmtId="184" fontId="27" fillId="0" borderId="0" xfId="0" applyNumberFormat="1" applyFont="1" applyFill="1">
      <alignment vertical="center"/>
    </xf>
    <xf numFmtId="0" fontId="1" fillId="0" borderId="0" xfId="0" applyFont="1" applyFill="1" applyBorder="1" applyProtection="1">
      <alignment vertical="center"/>
      <protection hidden="1"/>
    </xf>
    <xf numFmtId="178" fontId="26" fillId="0" borderId="5" xfId="1" applyNumberFormat="1" applyFont="1" applyFill="1" applyBorder="1">
      <alignment vertical="center"/>
    </xf>
    <xf numFmtId="0" fontId="18" fillId="0" borderId="5" xfId="0" applyFont="1" applyFill="1" applyBorder="1" applyAlignment="1" applyProtection="1">
      <alignment horizontal="center" vertical="center"/>
      <protection hidden="1"/>
    </xf>
    <xf numFmtId="0" fontId="26" fillId="0" borderId="5" xfId="0" applyFont="1" applyFill="1" applyBorder="1" applyAlignment="1">
      <alignment horizontal="center" vertical="center"/>
    </xf>
    <xf numFmtId="186" fontId="14" fillId="0" borderId="5" xfId="2" applyNumberFormat="1" applyFont="1" applyFill="1" applyBorder="1" applyAlignment="1">
      <alignment horizontal="center" vertical="center"/>
    </xf>
    <xf numFmtId="179" fontId="14" fillId="0" borderId="5" xfId="2" applyNumberFormat="1" applyFont="1" applyFill="1" applyBorder="1" applyAlignment="1">
      <alignment horizontal="center" vertical="center"/>
    </xf>
    <xf numFmtId="178" fontId="26" fillId="0" borderId="8" xfId="1" applyNumberFormat="1" applyFont="1" applyFill="1" applyBorder="1">
      <alignment vertical="center"/>
    </xf>
    <xf numFmtId="0" fontId="18" fillId="0" borderId="8" xfId="0" applyFont="1" applyFill="1" applyBorder="1" applyAlignment="1" applyProtection="1">
      <alignment horizontal="center" vertical="center"/>
      <protection hidden="1"/>
    </xf>
    <xf numFmtId="0" fontId="26" fillId="0" borderId="8" xfId="0" applyFont="1" applyFill="1" applyBorder="1" applyAlignment="1">
      <alignment horizontal="center" vertical="center"/>
    </xf>
    <xf numFmtId="186" fontId="14" fillId="0" borderId="8" xfId="2" applyNumberFormat="1" applyFont="1" applyFill="1" applyBorder="1" applyAlignment="1">
      <alignment horizontal="center" vertical="center"/>
    </xf>
    <xf numFmtId="179" fontId="14" fillId="0" borderId="8" xfId="2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 applyProtection="1">
      <alignment horizontal="center" vertical="center"/>
      <protection hidden="1"/>
    </xf>
    <xf numFmtId="176" fontId="26" fillId="0" borderId="9" xfId="1" applyNumberFormat="1" applyFont="1" applyFill="1" applyBorder="1">
      <alignment vertical="center"/>
    </xf>
    <xf numFmtId="176" fontId="26" fillId="0" borderId="28" xfId="1" applyNumberFormat="1" applyFont="1" applyFill="1" applyBorder="1">
      <alignment vertical="center"/>
    </xf>
    <xf numFmtId="176" fontId="26" fillId="0" borderId="18" xfId="1" applyNumberFormat="1" applyFont="1" applyFill="1" applyBorder="1" applyAlignment="1" applyProtection="1">
      <protection hidden="1"/>
    </xf>
    <xf numFmtId="176" fontId="26" fillId="0" borderId="19" xfId="1" applyNumberFormat="1" applyFont="1" applyFill="1" applyBorder="1" applyAlignment="1" applyProtection="1">
      <protection hidden="1"/>
    </xf>
    <xf numFmtId="0" fontId="47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78" fontId="26" fillId="0" borderId="6" xfId="1" applyNumberFormat="1" applyFont="1" applyFill="1" applyBorder="1" applyProtection="1">
      <alignment vertical="center"/>
      <protection hidden="1"/>
    </xf>
    <xf numFmtId="178" fontId="26" fillId="0" borderId="9" xfId="1" applyNumberFormat="1" applyFont="1" applyFill="1" applyBorder="1" applyProtection="1">
      <alignment vertical="center"/>
      <protection hidden="1"/>
    </xf>
    <xf numFmtId="176" fontId="26" fillId="0" borderId="6" xfId="1" applyNumberFormat="1" applyFont="1" applyFill="1" applyBorder="1">
      <alignment vertical="center"/>
    </xf>
    <xf numFmtId="178" fontId="26" fillId="0" borderId="13" xfId="1" applyNumberFormat="1" applyFont="1" applyFill="1" applyBorder="1" applyAlignment="1" applyProtection="1">
      <alignment horizontal="right"/>
      <protection hidden="1"/>
    </xf>
    <xf numFmtId="176" fontId="26" fillId="0" borderId="13" xfId="1" applyNumberFormat="1" applyFont="1" applyFill="1" applyBorder="1" applyAlignment="1" applyProtection="1">
      <alignment horizontal="right"/>
      <protection hidden="1"/>
    </xf>
    <xf numFmtId="176" fontId="26" fillId="0" borderId="19" xfId="1" applyNumberFormat="1" applyFont="1" applyFill="1" applyBorder="1" applyAlignment="1" applyProtection="1">
      <alignment horizontal="right"/>
      <protection hidden="1"/>
    </xf>
    <xf numFmtId="178" fontId="26" fillId="0" borderId="85" xfId="1" applyNumberFormat="1" applyFont="1" applyFill="1" applyBorder="1">
      <alignment vertical="center"/>
    </xf>
    <xf numFmtId="0" fontId="18" fillId="0" borderId="85" xfId="0" applyFont="1" applyFill="1" applyBorder="1" applyAlignment="1" applyProtection="1">
      <alignment horizontal="center" vertical="center"/>
      <protection hidden="1"/>
    </xf>
    <xf numFmtId="0" fontId="26" fillId="0" borderId="85" xfId="0" applyFont="1" applyFill="1" applyBorder="1" applyAlignment="1" applyProtection="1">
      <alignment horizontal="center" vertical="center"/>
      <protection hidden="1"/>
    </xf>
    <xf numFmtId="186" fontId="14" fillId="0" borderId="85" xfId="2" applyNumberFormat="1" applyFont="1" applyFill="1" applyBorder="1" applyAlignment="1">
      <alignment horizontal="center" vertical="center"/>
    </xf>
    <xf numFmtId="179" fontId="14" fillId="0" borderId="85" xfId="2" applyNumberFormat="1" applyFont="1" applyFill="1" applyBorder="1" applyAlignment="1">
      <alignment horizontal="center" vertical="center"/>
    </xf>
    <xf numFmtId="178" fontId="26" fillId="0" borderId="89" xfId="1" applyNumberFormat="1" applyFont="1" applyFill="1" applyBorder="1" applyProtection="1">
      <alignment vertical="center"/>
      <protection hidden="1"/>
    </xf>
    <xf numFmtId="0" fontId="1" fillId="0" borderId="90" xfId="0" applyFont="1" applyFill="1" applyBorder="1" applyProtection="1">
      <alignment vertical="center"/>
      <protection hidden="1"/>
    </xf>
    <xf numFmtId="0" fontId="0" fillId="0" borderId="7" xfId="0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alignment vertical="center"/>
      <protection hidden="1"/>
    </xf>
    <xf numFmtId="0" fontId="0" fillId="0" borderId="91" xfId="0" applyFont="1" applyFill="1" applyBorder="1" applyAlignment="1" applyProtection="1">
      <alignment horizontal="left" vertical="center"/>
      <protection hidden="1"/>
    </xf>
    <xf numFmtId="0" fontId="0" fillId="0" borderId="12" xfId="0" applyFont="1" applyFill="1" applyBorder="1" applyAlignment="1" applyProtection="1">
      <alignment horizontal="left"/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0" fillId="0" borderId="10" xfId="0" applyFill="1" applyBorder="1">
      <alignment vertical="center"/>
    </xf>
    <xf numFmtId="0" fontId="0" fillId="0" borderId="15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92" xfId="5" applyFont="1" applyBorder="1">
      <alignment vertical="center"/>
    </xf>
    <xf numFmtId="0" fontId="1" fillId="0" borderId="93" xfId="5" applyFont="1" applyBorder="1">
      <alignment vertical="center"/>
    </xf>
    <xf numFmtId="0" fontId="1" fillId="0" borderId="94" xfId="5" applyFont="1" applyBorder="1">
      <alignment vertical="center"/>
    </xf>
    <xf numFmtId="0" fontId="1" fillId="0" borderId="96" xfId="5" applyFont="1" applyBorder="1">
      <alignment vertical="center"/>
    </xf>
    <xf numFmtId="0" fontId="1" fillId="0" borderId="97" xfId="5" applyFont="1" applyBorder="1">
      <alignment vertical="center"/>
    </xf>
    <xf numFmtId="0" fontId="1" fillId="0" borderId="0" xfId="5" applyFont="1" applyFill="1" applyBorder="1">
      <alignment vertical="center"/>
    </xf>
    <xf numFmtId="0" fontId="23" fillId="0" borderId="0" xfId="5" applyFont="1" applyFill="1" applyBorder="1">
      <alignment vertical="center"/>
    </xf>
    <xf numFmtId="190" fontId="53" fillId="0" borderId="0" xfId="7" applyNumberFormat="1" applyFont="1" applyFill="1" applyBorder="1">
      <alignment vertical="center"/>
    </xf>
    <xf numFmtId="179" fontId="20" fillId="0" borderId="8" xfId="5" applyNumberFormat="1" applyFont="1" applyFill="1" applyBorder="1">
      <alignment vertical="center"/>
    </xf>
    <xf numFmtId="191" fontId="20" fillId="0" borderId="8" xfId="5" applyNumberFormat="1" applyFont="1" applyFill="1" applyBorder="1">
      <alignment vertical="center"/>
    </xf>
    <xf numFmtId="192" fontId="55" fillId="0" borderId="33" xfId="7" applyNumberFormat="1" applyFont="1" applyFill="1" applyBorder="1">
      <alignment vertical="center"/>
    </xf>
    <xf numFmtId="192" fontId="54" fillId="0" borderId="5" xfId="7" applyNumberFormat="1" applyFont="1" applyFill="1" applyBorder="1">
      <alignment vertical="center"/>
    </xf>
    <xf numFmtId="190" fontId="54" fillId="0" borderId="5" xfId="7" applyNumberFormat="1" applyFont="1" applyFill="1" applyBorder="1">
      <alignment vertical="center"/>
    </xf>
    <xf numFmtId="190" fontId="54" fillId="0" borderId="8" xfId="7" applyNumberFormat="1" applyFont="1" applyFill="1" applyBorder="1">
      <alignment vertical="center"/>
    </xf>
    <xf numFmtId="0" fontId="23" fillId="0" borderId="0" xfId="5" applyFont="1">
      <alignment vertical="center"/>
    </xf>
    <xf numFmtId="9" fontId="20" fillId="0" borderId="5" xfId="6" applyFont="1" applyFill="1" applyBorder="1">
      <alignment vertical="center"/>
    </xf>
    <xf numFmtId="192" fontId="58" fillId="0" borderId="5" xfId="7" applyNumberFormat="1" applyFont="1" applyFill="1" applyBorder="1">
      <alignment vertical="center"/>
    </xf>
    <xf numFmtId="192" fontId="58" fillId="0" borderId="33" xfId="7" applyNumberFormat="1" applyFont="1" applyFill="1" applyBorder="1">
      <alignment vertical="center"/>
    </xf>
    <xf numFmtId="9" fontId="54" fillId="0" borderId="8" xfId="6" applyFont="1" applyFill="1" applyBorder="1">
      <alignment vertical="center"/>
    </xf>
    <xf numFmtId="189" fontId="57" fillId="0" borderId="8" xfId="7" applyNumberFormat="1" applyFont="1" applyFill="1" applyBorder="1">
      <alignment vertical="center"/>
    </xf>
    <xf numFmtId="192" fontId="54" fillId="0" borderId="8" xfId="7" applyNumberFormat="1" applyFont="1" applyFill="1" applyBorder="1">
      <alignment vertical="center"/>
    </xf>
    <xf numFmtId="192" fontId="58" fillId="0" borderId="8" xfId="7" applyNumberFormat="1" applyFont="1" applyFill="1" applyBorder="1">
      <alignment vertical="center"/>
    </xf>
    <xf numFmtId="189" fontId="57" fillId="0" borderId="33" xfId="7" applyNumberFormat="1" applyFont="1" applyFill="1" applyBorder="1">
      <alignment vertical="center"/>
    </xf>
    <xf numFmtId="10" fontId="54" fillId="0" borderId="5" xfId="6" applyNumberFormat="1" applyFont="1" applyFill="1" applyBorder="1">
      <alignment vertical="center"/>
    </xf>
    <xf numFmtId="191" fontId="20" fillId="0" borderId="11" xfId="5" applyNumberFormat="1" applyFont="1" applyFill="1" applyBorder="1">
      <alignment vertical="center"/>
    </xf>
    <xf numFmtId="190" fontId="57" fillId="0" borderId="11" xfId="7" applyNumberFormat="1" applyFont="1" applyFill="1" applyBorder="1">
      <alignment vertical="center"/>
    </xf>
    <xf numFmtId="179" fontId="57" fillId="0" borderId="33" xfId="6" applyNumberFormat="1" applyFont="1" applyFill="1" applyBorder="1">
      <alignment vertical="center"/>
    </xf>
    <xf numFmtId="0" fontId="1" fillId="0" borderId="98" xfId="5" applyFont="1" applyBorder="1">
      <alignment vertical="center"/>
    </xf>
    <xf numFmtId="191" fontId="54" fillId="0" borderId="8" xfId="5" applyNumberFormat="1" applyFont="1" applyFill="1" applyBorder="1">
      <alignment vertical="center"/>
    </xf>
    <xf numFmtId="38" fontId="54" fillId="0" borderId="33" xfId="5" applyNumberFormat="1" applyFont="1" applyFill="1" applyBorder="1">
      <alignment vertical="center"/>
    </xf>
    <xf numFmtId="0" fontId="50" fillId="0" borderId="92" xfId="5" applyFont="1" applyBorder="1">
      <alignment vertical="center"/>
    </xf>
    <xf numFmtId="0" fontId="1" fillId="0" borderId="99" xfId="5" applyFont="1" applyBorder="1">
      <alignment vertical="center"/>
    </xf>
    <xf numFmtId="0" fontId="1" fillId="0" borderId="100" xfId="5" applyFont="1" applyBorder="1">
      <alignment vertical="center"/>
    </xf>
    <xf numFmtId="0" fontId="23" fillId="11" borderId="5" xfId="5" applyFont="1" applyFill="1" applyBorder="1" applyAlignment="1">
      <alignment horizontal="right" vertical="center"/>
    </xf>
    <xf numFmtId="0" fontId="23" fillId="9" borderId="33" xfId="5" applyFont="1" applyFill="1" applyBorder="1" applyAlignment="1">
      <alignment horizontal="right" vertical="center"/>
    </xf>
    <xf numFmtId="194" fontId="59" fillId="0" borderId="5" xfId="5" applyNumberFormat="1" applyFont="1" applyFill="1" applyBorder="1" applyAlignment="1">
      <alignment horizontal="left" vertical="center"/>
    </xf>
    <xf numFmtId="195" fontId="59" fillId="0" borderId="33" xfId="5" applyNumberFormat="1" applyFont="1" applyFill="1" applyBorder="1" applyAlignment="1">
      <alignment horizontal="left" vertical="center"/>
    </xf>
    <xf numFmtId="193" fontId="59" fillId="0" borderId="5" xfId="5" applyNumberFormat="1" applyFont="1" applyFill="1" applyBorder="1">
      <alignment vertical="center"/>
    </xf>
    <xf numFmtId="176" fontId="57" fillId="0" borderId="8" xfId="5" applyNumberFormat="1" applyFont="1" applyFill="1" applyBorder="1">
      <alignment vertical="center"/>
    </xf>
    <xf numFmtId="176" fontId="57" fillId="0" borderId="33" xfId="5" applyNumberFormat="1" applyFont="1" applyFill="1" applyBorder="1">
      <alignment vertical="center"/>
    </xf>
    <xf numFmtId="188" fontId="57" fillId="0" borderId="5" xfId="8" applyNumberFormat="1" applyFont="1" applyFill="1" applyBorder="1">
      <alignment vertical="center"/>
    </xf>
    <xf numFmtId="188" fontId="57" fillId="0" borderId="33" xfId="8" applyNumberFormat="1" applyFont="1" applyFill="1" applyBorder="1">
      <alignment vertical="center"/>
    </xf>
    <xf numFmtId="0" fontId="1" fillId="0" borderId="92" xfId="9" applyFont="1" applyBorder="1">
      <alignment vertical="center"/>
    </xf>
    <xf numFmtId="0" fontId="1" fillId="0" borderId="93" xfId="9" applyFont="1" applyBorder="1">
      <alignment vertical="center"/>
    </xf>
    <xf numFmtId="0" fontId="1" fillId="0" borderId="94" xfId="9" applyFont="1" applyBorder="1">
      <alignment vertical="center"/>
    </xf>
    <xf numFmtId="0" fontId="1" fillId="0" borderId="95" xfId="9" applyFont="1" applyBorder="1">
      <alignment vertical="center"/>
    </xf>
    <xf numFmtId="0" fontId="1" fillId="0" borderId="95" xfId="9" applyFont="1" applyBorder="1" applyAlignment="1"/>
    <xf numFmtId="0" fontId="1" fillId="0" borderId="100" xfId="9" applyFont="1" applyBorder="1">
      <alignment vertical="center"/>
    </xf>
    <xf numFmtId="179" fontId="66" fillId="0" borderId="8" xfId="11" applyNumberFormat="1" applyFont="1" applyFill="1" applyBorder="1">
      <alignment vertical="center"/>
    </xf>
    <xf numFmtId="191" fontId="66" fillId="0" borderId="8" xfId="9" applyNumberFormat="1" applyFont="1" applyFill="1" applyBorder="1">
      <alignment vertical="center"/>
    </xf>
    <xf numFmtId="189" fontId="66" fillId="0" borderId="8" xfId="7" applyNumberFormat="1" applyFont="1" applyFill="1" applyBorder="1">
      <alignment vertical="center"/>
    </xf>
    <xf numFmtId="190" fontId="66" fillId="0" borderId="8" xfId="7" applyNumberFormat="1" applyFont="1" applyFill="1" applyBorder="1">
      <alignment vertical="center"/>
    </xf>
    <xf numFmtId="0" fontId="66" fillId="0" borderId="8" xfId="9" applyFont="1" applyFill="1" applyBorder="1">
      <alignment vertical="center"/>
    </xf>
    <xf numFmtId="192" fontId="66" fillId="0" borderId="8" xfId="7" applyNumberFormat="1" applyFont="1" applyFill="1" applyBorder="1">
      <alignment vertical="center"/>
    </xf>
    <xf numFmtId="191" fontId="66" fillId="0" borderId="8" xfId="11" applyNumberFormat="1" applyFont="1" applyFill="1" applyBorder="1">
      <alignment vertical="center"/>
    </xf>
    <xf numFmtId="9" fontId="66" fillId="0" borderId="8" xfId="11" applyFont="1" applyFill="1" applyBorder="1">
      <alignment vertical="center"/>
    </xf>
    <xf numFmtId="0" fontId="1" fillId="0" borderId="0" xfId="13">
      <alignment vertical="center"/>
    </xf>
    <xf numFmtId="0" fontId="1" fillId="13" borderId="0" xfId="13" applyFill="1" applyAlignment="1">
      <alignment horizontal="center" vertical="center"/>
    </xf>
    <xf numFmtId="0" fontId="1" fillId="13" borderId="0" xfId="13" applyFill="1">
      <alignment vertical="center"/>
    </xf>
    <xf numFmtId="182" fontId="50" fillId="13" borderId="0" xfId="13" applyNumberFormat="1" applyFont="1" applyFill="1">
      <alignment vertical="center"/>
    </xf>
    <xf numFmtId="0" fontId="68" fillId="13" borderId="0" xfId="12" applyFont="1" applyFill="1">
      <alignment vertical="center"/>
    </xf>
    <xf numFmtId="191" fontId="69" fillId="13" borderId="0" xfId="12" applyNumberFormat="1" applyFont="1" applyFill="1">
      <alignment vertical="center"/>
    </xf>
    <xf numFmtId="0" fontId="70" fillId="13" borderId="0" xfId="12" applyFont="1" applyFill="1">
      <alignment vertical="center"/>
    </xf>
    <xf numFmtId="197" fontId="66" fillId="13" borderId="0" xfId="12" applyNumberFormat="1" applyFont="1" applyFill="1" applyProtection="1">
      <alignment vertical="center"/>
      <protection locked="0"/>
    </xf>
    <xf numFmtId="0" fontId="23" fillId="13" borderId="0" xfId="13" applyFont="1" applyFill="1" applyAlignment="1">
      <alignment horizontal="center" vertical="center"/>
    </xf>
    <xf numFmtId="0" fontId="1" fillId="13" borderId="0" xfId="12" applyFont="1" applyFill="1">
      <alignment vertical="center"/>
    </xf>
    <xf numFmtId="0" fontId="23" fillId="13" borderId="5" xfId="13" applyFont="1" applyFill="1" applyBorder="1" applyAlignment="1">
      <alignment horizontal="center" vertical="center"/>
    </xf>
    <xf numFmtId="0" fontId="69" fillId="13" borderId="0" xfId="13" applyFont="1" applyFill="1" applyAlignment="1">
      <alignment horizontal="center" vertical="center"/>
    </xf>
    <xf numFmtId="0" fontId="72" fillId="13" borderId="0" xfId="12" applyFont="1" applyFill="1">
      <alignment vertical="center"/>
    </xf>
    <xf numFmtId="0" fontId="69" fillId="13" borderId="5" xfId="13" applyFont="1" applyFill="1" applyBorder="1" applyAlignment="1">
      <alignment horizontal="center" vertical="center"/>
    </xf>
    <xf numFmtId="0" fontId="72" fillId="13" borderId="5" xfId="12" applyFont="1" applyFill="1" applyBorder="1">
      <alignment vertical="center"/>
    </xf>
    <xf numFmtId="0" fontId="73" fillId="13" borderId="0" xfId="12" applyFont="1" applyFill="1">
      <alignment vertical="center"/>
    </xf>
    <xf numFmtId="197" fontId="75" fillId="13" borderId="0" xfId="12" applyNumberFormat="1" applyFont="1" applyFill="1" applyProtection="1">
      <alignment vertical="center"/>
      <protection hidden="1"/>
    </xf>
    <xf numFmtId="0" fontId="1" fillId="0" borderId="0" xfId="13" applyAlignment="1">
      <alignment horizontal="right" vertical="center"/>
    </xf>
    <xf numFmtId="0" fontId="1" fillId="0" borderId="102" xfId="13" applyBorder="1">
      <alignment vertical="center"/>
    </xf>
    <xf numFmtId="0" fontId="23" fillId="0" borderId="0" xfId="13" applyFont="1" applyAlignment="1">
      <alignment horizontal="center" vertical="center"/>
    </xf>
    <xf numFmtId="0" fontId="1" fillId="0" borderId="0" xfId="13" applyAlignment="1">
      <alignment horizontal="left" vertical="center"/>
    </xf>
    <xf numFmtId="197" fontId="76" fillId="13" borderId="0" xfId="12" applyNumberFormat="1" applyFont="1" applyFill="1" applyProtection="1">
      <alignment vertical="center"/>
      <protection hidden="1"/>
    </xf>
    <xf numFmtId="0" fontId="1" fillId="0" borderId="0" xfId="13" applyAlignment="1">
      <alignment horizontal="left" vertical="center"/>
    </xf>
    <xf numFmtId="197" fontId="77" fillId="13" borderId="0" xfId="12" applyNumberFormat="1" applyFont="1" applyFill="1" applyProtection="1">
      <alignment vertical="center"/>
      <protection hidden="1"/>
    </xf>
    <xf numFmtId="0" fontId="23" fillId="14" borderId="0" xfId="13" applyFont="1" applyFill="1">
      <alignment vertical="center"/>
    </xf>
    <xf numFmtId="0" fontId="1" fillId="14" borderId="0" xfId="13" applyFill="1">
      <alignment vertical="center"/>
    </xf>
    <xf numFmtId="0" fontId="1" fillId="15" borderId="0" xfId="13" applyFill="1">
      <alignment vertical="center"/>
    </xf>
    <xf numFmtId="0" fontId="1" fillId="15" borderId="0" xfId="13" applyFill="1" applyAlignment="1">
      <alignment horizontal="left" vertical="center"/>
    </xf>
    <xf numFmtId="197" fontId="77" fillId="15" borderId="0" xfId="12" applyNumberFormat="1" applyFont="1" applyFill="1" applyProtection="1">
      <alignment vertical="center"/>
      <protection hidden="1"/>
    </xf>
    <xf numFmtId="200" fontId="1" fillId="15" borderId="0" xfId="13" applyNumberFormat="1" applyFill="1">
      <alignment vertical="center"/>
    </xf>
    <xf numFmtId="197" fontId="78" fillId="13" borderId="0" xfId="12" applyNumberFormat="1" applyFont="1" applyFill="1" applyProtection="1">
      <alignment vertical="center"/>
      <protection hidden="1"/>
    </xf>
    <xf numFmtId="0" fontId="0" fillId="13" borderId="0" xfId="12" applyFont="1" applyFill="1">
      <alignment vertical="center"/>
    </xf>
    <xf numFmtId="0" fontId="23" fillId="12" borderId="0" xfId="13" applyFont="1" applyFill="1" applyAlignment="1">
      <alignment horizontal="center" vertical="center"/>
    </xf>
    <xf numFmtId="0" fontId="72" fillId="13" borderId="0" xfId="13" applyFont="1" applyFill="1">
      <alignment vertical="center"/>
    </xf>
    <xf numFmtId="0" fontId="72" fillId="13" borderId="5" xfId="13" applyFont="1" applyFill="1" applyBorder="1">
      <alignment vertical="center"/>
    </xf>
    <xf numFmtId="0" fontId="1" fillId="0" borderId="97" xfId="9" applyFont="1" applyBorder="1">
      <alignment vertical="center"/>
    </xf>
    <xf numFmtId="190" fontId="54" fillId="0" borderId="104" xfId="7" applyNumberFormat="1" applyFont="1" applyFill="1" applyBorder="1">
      <alignment vertical="center"/>
    </xf>
    <xf numFmtId="179" fontId="54" fillId="0" borderId="106" xfId="11" applyNumberFormat="1" applyFont="1" applyFill="1" applyBorder="1">
      <alignment vertical="center"/>
    </xf>
    <xf numFmtId="191" fontId="54" fillId="0" borderId="106" xfId="9" applyNumberFormat="1" applyFont="1" applyFill="1" applyBorder="1">
      <alignment vertical="center"/>
    </xf>
    <xf numFmtId="190" fontId="54" fillId="0" borderId="106" xfId="7" applyNumberFormat="1" applyFont="1" applyFill="1" applyBorder="1">
      <alignment vertical="center"/>
    </xf>
    <xf numFmtId="189" fontId="54" fillId="0" borderId="106" xfId="7" applyNumberFormat="1" applyFont="1" applyFill="1" applyBorder="1">
      <alignment vertical="center"/>
    </xf>
    <xf numFmtId="0" fontId="1" fillId="0" borderId="105" xfId="9" applyFont="1" applyBorder="1">
      <alignment vertical="center"/>
    </xf>
    <xf numFmtId="0" fontId="21" fillId="0" borderId="93" xfId="9" applyFont="1" applyBorder="1">
      <alignment vertical="center"/>
    </xf>
    <xf numFmtId="191" fontId="54" fillId="0" borderId="109" xfId="9" applyNumberFormat="1" applyFont="1" applyFill="1" applyBorder="1">
      <alignment vertical="center"/>
    </xf>
    <xf numFmtId="0" fontId="1" fillId="0" borderId="111" xfId="9" applyFont="1" applyBorder="1">
      <alignment vertical="center"/>
    </xf>
    <xf numFmtId="0" fontId="1" fillId="0" borderId="5" xfId="5" applyFont="1" applyFill="1" applyBorder="1">
      <alignment vertical="center"/>
    </xf>
    <xf numFmtId="0" fontId="56" fillId="0" borderId="5" xfId="5" applyFont="1" applyFill="1" applyBorder="1" applyAlignment="1">
      <alignment horizontal="right" vertical="center"/>
    </xf>
    <xf numFmtId="0" fontId="1" fillId="0" borderId="122" xfId="9" applyFont="1" applyBorder="1">
      <alignment vertical="center"/>
    </xf>
    <xf numFmtId="190" fontId="83" fillId="0" borderId="112" xfId="7" applyNumberFormat="1" applyFont="1" applyFill="1" applyBorder="1">
      <alignment vertical="center"/>
    </xf>
    <xf numFmtId="190" fontId="83" fillId="0" borderId="117" xfId="7" applyNumberFormat="1" applyFont="1" applyFill="1" applyBorder="1">
      <alignment vertical="center"/>
    </xf>
    <xf numFmtId="189" fontId="83" fillId="0" borderId="114" xfId="7" applyNumberFormat="1" applyFont="1" applyFill="1" applyBorder="1">
      <alignment vertical="center"/>
    </xf>
    <xf numFmtId="189" fontId="83" fillId="0" borderId="119" xfId="7" applyNumberFormat="1" applyFont="1" applyFill="1" applyBorder="1">
      <alignment vertical="center"/>
    </xf>
    <xf numFmtId="0" fontId="3" fillId="10" borderId="125" xfId="9" applyFont="1" applyFill="1" applyBorder="1">
      <alignment vertical="center"/>
    </xf>
    <xf numFmtId="0" fontId="3" fillId="10" borderId="126" xfId="9" applyFont="1" applyFill="1" applyBorder="1">
      <alignment vertical="center"/>
    </xf>
    <xf numFmtId="0" fontId="3" fillId="10" borderId="127" xfId="9" applyFont="1" applyFill="1" applyBorder="1">
      <alignment vertical="center"/>
    </xf>
    <xf numFmtId="190" fontId="82" fillId="13" borderId="113" xfId="7" applyNumberFormat="1" applyFont="1" applyFill="1" applyBorder="1">
      <alignment vertical="center"/>
    </xf>
    <xf numFmtId="190" fontId="82" fillId="13" borderId="118" xfId="7" applyNumberFormat="1" applyFont="1" applyFill="1" applyBorder="1">
      <alignment vertical="center"/>
    </xf>
    <xf numFmtId="189" fontId="82" fillId="13" borderId="113" xfId="7" applyNumberFormat="1" applyFont="1" applyFill="1" applyBorder="1">
      <alignment vertical="center"/>
    </xf>
    <xf numFmtId="189" fontId="82" fillId="13" borderId="118" xfId="7" applyNumberFormat="1" applyFont="1" applyFill="1" applyBorder="1">
      <alignment vertical="center"/>
    </xf>
    <xf numFmtId="179" fontId="82" fillId="13" borderId="113" xfId="11" applyNumberFormat="1" applyFont="1" applyFill="1" applyBorder="1">
      <alignment vertical="center"/>
    </xf>
    <xf numFmtId="179" fontId="82" fillId="13" borderId="118" xfId="11" applyNumberFormat="1" applyFont="1" applyFill="1" applyBorder="1">
      <alignment vertical="center"/>
    </xf>
    <xf numFmtId="0" fontId="1" fillId="8" borderId="102" xfId="9" applyFont="1" applyFill="1" applyBorder="1">
      <alignment vertical="center"/>
    </xf>
    <xf numFmtId="0" fontId="1" fillId="8" borderId="130" xfId="0" applyFont="1" applyFill="1" applyBorder="1">
      <alignment vertical="center"/>
    </xf>
    <xf numFmtId="0" fontId="84" fillId="0" borderId="0" xfId="9" applyFont="1" applyFill="1" applyBorder="1">
      <alignment vertical="center"/>
    </xf>
    <xf numFmtId="197" fontId="85" fillId="0" borderId="0" xfId="0" applyNumberFormat="1" applyFont="1">
      <alignment vertical="center"/>
    </xf>
    <xf numFmtId="197" fontId="85" fillId="0" borderId="5" xfId="0" applyNumberFormat="1" applyFont="1" applyBorder="1">
      <alignment vertical="center"/>
    </xf>
    <xf numFmtId="0" fontId="71" fillId="0" borderId="0" xfId="0" applyFont="1">
      <alignment vertical="center"/>
    </xf>
    <xf numFmtId="0" fontId="0" fillId="14" borderId="5" xfId="0" applyFill="1" applyBorder="1">
      <alignment vertical="center"/>
    </xf>
    <xf numFmtId="199" fontId="83" fillId="0" borderId="5" xfId="1" applyNumberFormat="1" applyFont="1" applyBorder="1">
      <alignment vertical="center"/>
    </xf>
    <xf numFmtId="0" fontId="0" fillId="14" borderId="33" xfId="0" applyFill="1" applyBorder="1">
      <alignment vertical="center"/>
    </xf>
    <xf numFmtId="199" fontId="83" fillId="0" borderId="33" xfId="1" applyNumberFormat="1" applyFont="1" applyBorder="1">
      <alignment vertical="center"/>
    </xf>
    <xf numFmtId="192" fontId="14" fillId="0" borderId="113" xfId="7" applyNumberFormat="1" applyFont="1" applyFill="1" applyBorder="1">
      <alignment vertical="center"/>
    </xf>
    <xf numFmtId="192" fontId="14" fillId="0" borderId="118" xfId="7" applyNumberFormat="1" applyFont="1" applyFill="1" applyBorder="1">
      <alignment vertical="center"/>
    </xf>
    <xf numFmtId="183" fontId="26" fillId="0" borderId="5" xfId="3" applyNumberFormat="1" applyFont="1" applyBorder="1" applyAlignment="1">
      <alignment horizontal="right" vertical="center"/>
    </xf>
    <xf numFmtId="182" fontId="26" fillId="0" borderId="5" xfId="3" applyNumberFormat="1" applyFont="1" applyBorder="1" applyAlignment="1">
      <alignment horizontal="center" vertical="center"/>
    </xf>
    <xf numFmtId="183" fontId="26" fillId="0" borderId="33" xfId="3" applyNumberFormat="1" applyFont="1" applyBorder="1" applyAlignment="1">
      <alignment horizontal="right" vertical="center"/>
    </xf>
    <xf numFmtId="182" fontId="26" fillId="0" borderId="33" xfId="3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82" fontId="0" fillId="0" borderId="0" xfId="0" applyNumberFormat="1">
      <alignment vertical="center"/>
    </xf>
    <xf numFmtId="0" fontId="56" fillId="12" borderId="76" xfId="0" applyFont="1" applyFill="1" applyBorder="1">
      <alignment vertical="center"/>
    </xf>
    <xf numFmtId="191" fontId="26" fillId="0" borderId="5" xfId="3" applyNumberFormat="1" applyFont="1" applyBorder="1" applyAlignment="1">
      <alignment horizontal="center" vertical="center"/>
    </xf>
    <xf numFmtId="191" fontId="26" fillId="0" borderId="8" xfId="3" applyNumberFormat="1" applyFont="1" applyBorder="1" applyAlignment="1">
      <alignment horizontal="center" vertical="center"/>
    </xf>
    <xf numFmtId="191" fontId="26" fillId="0" borderId="33" xfId="3" applyNumberFormat="1" applyFont="1" applyBorder="1" applyAlignment="1">
      <alignment horizontal="center" vertical="center"/>
    </xf>
    <xf numFmtId="182" fontId="86" fillId="0" borderId="0" xfId="0" applyNumberFormat="1" applyFont="1" applyAlignment="1"/>
    <xf numFmtId="191" fontId="26" fillId="13" borderId="123" xfId="9" applyNumberFormat="1" applyFont="1" applyFill="1" applyBorder="1">
      <alignment vertical="center"/>
    </xf>
    <xf numFmtId="191" fontId="26" fillId="13" borderId="124" xfId="9" applyNumberFormat="1" applyFont="1" applyFill="1" applyBorder="1">
      <alignment vertical="center"/>
    </xf>
    <xf numFmtId="201" fontId="36" fillId="0" borderId="115" xfId="9" applyNumberFormat="1" applyFont="1" applyBorder="1">
      <alignment vertical="center"/>
    </xf>
    <xf numFmtId="201" fontId="36" fillId="0" borderId="116" xfId="9" applyNumberFormat="1" applyFont="1" applyBorder="1">
      <alignment vertical="center"/>
    </xf>
    <xf numFmtId="201" fontId="36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182" fontId="88" fillId="0" borderId="118" xfId="9" applyNumberFormat="1" applyFont="1" applyFill="1" applyBorder="1">
      <alignment vertical="center"/>
    </xf>
    <xf numFmtId="179" fontId="28" fillId="0" borderId="8" xfId="2" applyNumberFormat="1" applyFont="1" applyBorder="1">
      <alignment vertical="center"/>
    </xf>
    <xf numFmtId="185" fontId="90" fillId="0" borderId="8" xfId="1" applyNumberFormat="1" applyFont="1" applyBorder="1">
      <alignment vertical="center"/>
    </xf>
    <xf numFmtId="179" fontId="89" fillId="0" borderId="42" xfId="2" applyNumberFormat="1" applyFont="1" applyBorder="1">
      <alignment vertical="center"/>
    </xf>
    <xf numFmtId="179" fontId="89" fillId="0" borderId="33" xfId="2" applyNumberFormat="1" applyFont="1" applyBorder="1">
      <alignment vertical="center"/>
    </xf>
    <xf numFmtId="185" fontId="90" fillId="0" borderId="131" xfId="1" applyNumberFormat="1" applyFont="1" applyBorder="1">
      <alignment vertical="center"/>
    </xf>
    <xf numFmtId="179" fontId="28" fillId="0" borderId="33" xfId="2" applyNumberFormat="1" applyFont="1" applyBorder="1">
      <alignment vertical="center"/>
    </xf>
    <xf numFmtId="202" fontId="90" fillId="0" borderId="0" xfId="2" applyNumberFormat="1" applyFont="1" applyAlignment="1">
      <alignment horizontal="right" vertical="center"/>
    </xf>
    <xf numFmtId="202" fontId="90" fillId="0" borderId="0" xfId="2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91" fillId="0" borderId="5" xfId="0" applyFont="1" applyBorder="1">
      <alignment vertical="center"/>
    </xf>
    <xf numFmtId="204" fontId="26" fillId="0" borderId="8" xfId="0" applyNumberFormat="1" applyFont="1" applyBorder="1">
      <alignment vertical="center"/>
    </xf>
    <xf numFmtId="204" fontId="26" fillId="0" borderId="33" xfId="0" applyNumberFormat="1" applyFont="1" applyBorder="1">
      <alignment vertical="center"/>
    </xf>
    <xf numFmtId="188" fontId="90" fillId="0" borderId="0" xfId="1" applyNumberFormat="1" applyFont="1">
      <alignment vertical="center"/>
    </xf>
    <xf numFmtId="179" fontId="90" fillId="0" borderId="0" xfId="2" applyNumberFormat="1" applyFont="1">
      <alignment vertical="center"/>
    </xf>
    <xf numFmtId="0" fontId="9" fillId="0" borderId="71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56" xfId="3" applyFont="1" applyBorder="1" applyAlignment="1">
      <alignment vertical="center" wrapText="1"/>
    </xf>
    <xf numFmtId="0" fontId="9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90" fillId="0" borderId="0" xfId="1" applyNumberFormat="1" applyFont="1" applyAlignment="1">
      <alignment horizontal="center" vertical="center"/>
    </xf>
    <xf numFmtId="0" fontId="91" fillId="0" borderId="0" xfId="0" applyFont="1" applyBorder="1">
      <alignment vertical="center"/>
    </xf>
    <xf numFmtId="0" fontId="91" fillId="9" borderId="0" xfId="0" applyFont="1" applyFill="1" applyBorder="1">
      <alignment vertical="center"/>
    </xf>
    <xf numFmtId="203" fontId="26" fillId="9" borderId="5" xfId="0" applyNumberFormat="1" applyFont="1" applyFill="1" applyBorder="1">
      <alignment vertical="center"/>
    </xf>
    <xf numFmtId="0" fontId="91" fillId="9" borderId="33" xfId="0" applyFont="1" applyFill="1" applyBorder="1">
      <alignment vertical="center"/>
    </xf>
    <xf numFmtId="203" fontId="26" fillId="9" borderId="8" xfId="0" applyNumberFormat="1" applyFont="1" applyFill="1" applyBorder="1">
      <alignment vertical="center"/>
    </xf>
    <xf numFmtId="0" fontId="0" fillId="9" borderId="5" xfId="0" applyFill="1" applyBorder="1">
      <alignment vertical="center"/>
    </xf>
    <xf numFmtId="0" fontId="0" fillId="9" borderId="8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8" fontId="26" fillId="0" borderId="5" xfId="0" applyNumberFormat="1" applyFont="1" applyBorder="1">
      <alignment vertical="center"/>
    </xf>
    <xf numFmtId="178" fontId="26" fillId="0" borderId="8" xfId="0" applyNumberFormat="1" applyFont="1" applyBorder="1">
      <alignment vertical="center"/>
    </xf>
    <xf numFmtId="178" fontId="26" fillId="0" borderId="33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6" fillId="0" borderId="8" xfId="0" applyFont="1" applyBorder="1">
      <alignment vertical="center"/>
    </xf>
    <xf numFmtId="0" fontId="26" fillId="9" borderId="8" xfId="0" applyFont="1" applyFill="1" applyBorder="1">
      <alignment vertical="center"/>
    </xf>
    <xf numFmtId="0" fontId="26" fillId="0" borderId="33" xfId="0" applyFont="1" applyBorder="1">
      <alignment vertical="center"/>
    </xf>
    <xf numFmtId="179" fontId="26" fillId="0" borderId="0" xfId="2" applyNumberFormat="1" applyFont="1">
      <alignment vertical="center"/>
    </xf>
    <xf numFmtId="191" fontId="90" fillId="0" borderId="8" xfId="0" applyNumberFormat="1" applyFont="1" applyBorder="1">
      <alignment vertical="center"/>
    </xf>
    <xf numFmtId="0" fontId="22" fillId="0" borderId="141" xfId="3" applyFont="1" applyBorder="1" applyAlignment="1">
      <alignment horizontal="right" vertical="center"/>
    </xf>
    <xf numFmtId="178" fontId="29" fillId="6" borderId="5" xfId="3" applyNumberFormat="1" applyFont="1" applyFill="1" applyBorder="1">
      <alignment vertical="center"/>
    </xf>
    <xf numFmtId="187" fontId="32" fillId="6" borderId="23" xfId="4" applyNumberFormat="1" applyFont="1" applyFill="1" applyBorder="1">
      <alignment vertical="center"/>
    </xf>
    <xf numFmtId="187" fontId="14" fillId="0" borderId="25" xfId="4" applyNumberFormat="1" applyFont="1" applyBorder="1">
      <alignment vertical="center"/>
    </xf>
    <xf numFmtId="187" fontId="22" fillId="0" borderId="27" xfId="4" applyNumberFormat="1" applyFont="1" applyBorder="1">
      <alignment vertical="center"/>
    </xf>
    <xf numFmtId="187" fontId="41" fillId="9" borderId="84" xfId="4" applyNumberFormat="1" applyFont="1" applyFill="1" applyBorder="1">
      <alignment vertical="center"/>
    </xf>
    <xf numFmtId="187" fontId="32" fillId="6" borderId="23" xfId="3" applyNumberFormat="1" applyFont="1" applyFill="1" applyBorder="1">
      <alignment vertical="center"/>
    </xf>
    <xf numFmtId="187" fontId="14" fillId="0" borderId="25" xfId="3" applyNumberFormat="1" applyFont="1" applyBorder="1">
      <alignment vertical="center"/>
    </xf>
    <xf numFmtId="187" fontId="29" fillId="6" borderId="23" xfId="3" applyNumberFormat="1" applyFont="1" applyFill="1" applyBorder="1">
      <alignment vertical="center"/>
    </xf>
    <xf numFmtId="187" fontId="22" fillId="0" borderId="25" xfId="3" applyNumberFormat="1" applyFont="1" applyBorder="1">
      <alignment vertical="center"/>
    </xf>
    <xf numFmtId="187" fontId="22" fillId="7" borderId="6" xfId="3" applyNumberFormat="1" applyFont="1" applyFill="1" applyBorder="1">
      <alignment vertical="center"/>
    </xf>
    <xf numFmtId="187" fontId="22" fillId="0" borderId="9" xfId="3" applyNumberFormat="1" applyFont="1" applyBorder="1">
      <alignment vertical="center"/>
    </xf>
    <xf numFmtId="187" fontId="22" fillId="0" borderId="138" xfId="3" applyNumberFormat="1" applyFont="1" applyBorder="1">
      <alignment vertical="center"/>
    </xf>
    <xf numFmtId="187" fontId="22" fillId="0" borderId="140" xfId="3" applyNumberFormat="1" applyFont="1" applyBorder="1">
      <alignment vertical="center"/>
    </xf>
    <xf numFmtId="187" fontId="22" fillId="0" borderId="6" xfId="3" applyNumberFormat="1" applyFont="1" applyBorder="1">
      <alignment vertical="center"/>
    </xf>
    <xf numFmtId="187" fontId="22" fillId="0" borderId="144" xfId="3" applyNumberFormat="1" applyFont="1" applyBorder="1">
      <alignment vertical="center"/>
    </xf>
    <xf numFmtId="187" fontId="22" fillId="0" borderId="17" xfId="3" applyNumberFormat="1" applyFont="1" applyBorder="1">
      <alignment vertical="center"/>
    </xf>
    <xf numFmtId="0" fontId="92" fillId="9" borderId="82" xfId="3" applyFont="1" applyFill="1" applyBorder="1" applyAlignment="1">
      <alignment horizontal="left" vertical="center" indent="1"/>
    </xf>
    <xf numFmtId="187" fontId="22" fillId="0" borderId="145" xfId="3" applyNumberFormat="1" applyFont="1" applyBorder="1">
      <alignment vertical="center"/>
    </xf>
    <xf numFmtId="0" fontId="22" fillId="0" borderId="0" xfId="3" applyFont="1" applyBorder="1">
      <alignment vertical="center"/>
    </xf>
    <xf numFmtId="0" fontId="14" fillId="0" borderId="91" xfId="3" applyFont="1" applyBorder="1" applyAlignment="1">
      <alignment horizontal="left" vertical="center" indent="1"/>
    </xf>
    <xf numFmtId="0" fontId="14" fillId="0" borderId="26" xfId="3" applyFont="1" applyBorder="1" applyAlignment="1">
      <alignment horizontal="left" vertical="center" indent="1"/>
    </xf>
    <xf numFmtId="0" fontId="30" fillId="0" borderId="136" xfId="3" applyFont="1" applyBorder="1" applyAlignment="1">
      <alignment horizontal="left" vertical="center" indent="1"/>
    </xf>
    <xf numFmtId="0" fontId="14" fillId="0" borderId="24" xfId="3" applyFont="1" applyBorder="1" applyAlignment="1">
      <alignment horizontal="left" vertical="center" indent="1"/>
    </xf>
    <xf numFmtId="0" fontId="14" fillId="0" borderId="143" xfId="3" applyFont="1" applyBorder="1" applyAlignment="1">
      <alignment horizontal="left" vertical="center" indent="1"/>
    </xf>
    <xf numFmtId="0" fontId="14" fillId="0" borderId="136" xfId="3" applyFont="1" applyBorder="1" applyAlignment="1">
      <alignment horizontal="left" vertical="center" indent="1"/>
    </xf>
    <xf numFmtId="0" fontId="14" fillId="0" borderId="139" xfId="3" applyFont="1" applyBorder="1" applyAlignment="1">
      <alignment horizontal="left" vertical="center" indent="1"/>
    </xf>
    <xf numFmtId="0" fontId="14" fillId="0" borderId="4" xfId="3" applyFont="1" applyFill="1" applyBorder="1" applyAlignment="1">
      <alignment horizontal="left" vertical="center" indent="1"/>
    </xf>
    <xf numFmtId="0" fontId="30" fillId="0" borderId="7" xfId="3" applyFont="1" applyBorder="1" applyAlignment="1">
      <alignment horizontal="left" vertical="center" indent="1"/>
    </xf>
    <xf numFmtId="0" fontId="13" fillId="7" borderId="30" xfId="3" applyFont="1" applyFill="1" applyBorder="1" applyAlignment="1">
      <alignment horizontal="left" vertical="center" indent="1"/>
    </xf>
    <xf numFmtId="0" fontId="22" fillId="6" borderId="30" xfId="3" applyFont="1" applyFill="1" applyBorder="1" applyAlignment="1">
      <alignment horizontal="left" vertical="center" indent="1"/>
    </xf>
    <xf numFmtId="178" fontId="14" fillId="0" borderId="85" xfId="3" applyNumberFormat="1" applyFont="1" applyBorder="1">
      <alignment vertical="center"/>
    </xf>
    <xf numFmtId="178" fontId="14" fillId="0" borderId="5" xfId="3" applyNumberFormat="1" applyFont="1" applyFill="1" applyBorder="1">
      <alignment vertical="center"/>
    </xf>
    <xf numFmtId="187" fontId="15" fillId="0" borderId="23" xfId="3" applyNumberFormat="1" applyFont="1" applyFill="1" applyBorder="1">
      <alignment vertical="center"/>
    </xf>
    <xf numFmtId="176" fontId="14" fillId="0" borderId="5" xfId="3" applyNumberFormat="1" applyFont="1" applyBorder="1">
      <alignment vertical="center"/>
    </xf>
    <xf numFmtId="176" fontId="14" fillId="0" borderId="8" xfId="3" applyNumberFormat="1" applyFont="1" applyBorder="1">
      <alignment vertical="center"/>
    </xf>
    <xf numFmtId="176" fontId="14" fillId="0" borderId="137" xfId="3" applyNumberFormat="1" applyFont="1" applyBorder="1">
      <alignment vertical="center"/>
    </xf>
    <xf numFmtId="176" fontId="14" fillId="0" borderId="14" xfId="3" applyNumberFormat="1" applyFont="1" applyBorder="1">
      <alignment vertical="center"/>
    </xf>
    <xf numFmtId="176" fontId="14" fillId="0" borderId="83" xfId="3" applyNumberFormat="1" applyFont="1" applyBorder="1">
      <alignment vertical="center"/>
    </xf>
    <xf numFmtId="0" fontId="13" fillId="0" borderId="30" xfId="3" applyFont="1" applyBorder="1" applyAlignment="1">
      <alignment horizontal="right" vertical="center" indent="1"/>
    </xf>
    <xf numFmtId="0" fontId="13" fillId="0" borderId="146" xfId="3" applyFont="1" applyBorder="1" applyAlignment="1">
      <alignment horizontal="left" vertical="center" indent="1"/>
    </xf>
    <xf numFmtId="0" fontId="22" fillId="0" borderId="147" xfId="3" applyFont="1" applyBorder="1">
      <alignment vertical="center"/>
    </xf>
    <xf numFmtId="187" fontId="22" fillId="0" borderId="148" xfId="3" applyNumberFormat="1" applyFont="1" applyBorder="1">
      <alignment vertical="center"/>
    </xf>
    <xf numFmtId="0" fontId="20" fillId="0" borderId="1" xfId="3" applyFont="1" applyBorder="1">
      <alignment vertical="center"/>
    </xf>
    <xf numFmtId="0" fontId="22" fillId="0" borderId="2" xfId="3" applyFont="1" applyBorder="1">
      <alignment vertical="center"/>
    </xf>
    <xf numFmtId="0" fontId="22" fillId="0" borderId="3" xfId="3" applyFont="1" applyBorder="1">
      <alignment vertical="center"/>
    </xf>
    <xf numFmtId="176" fontId="32" fillId="7" borderId="5" xfId="3" applyNumberFormat="1" applyFont="1" applyFill="1" applyBorder="1">
      <alignment vertical="center"/>
    </xf>
    <xf numFmtId="187" fontId="32" fillId="0" borderId="142" xfId="3" applyNumberFormat="1" applyFont="1" applyBorder="1">
      <alignment vertical="center"/>
    </xf>
    <xf numFmtId="187" fontId="32" fillId="0" borderId="31" xfId="3" applyNumberFormat="1" applyFont="1" applyBorder="1">
      <alignment vertical="center"/>
    </xf>
    <xf numFmtId="178" fontId="32" fillId="9" borderId="83" xfId="3" applyNumberFormat="1" applyFont="1" applyFill="1" applyBorder="1">
      <alignment vertical="center"/>
    </xf>
    <xf numFmtId="187" fontId="14" fillId="0" borderId="145" xfId="3" applyNumberFormat="1" applyFont="1" applyBorder="1">
      <alignment vertical="center"/>
    </xf>
    <xf numFmtId="10" fontId="8" fillId="0" borderId="0" xfId="2" applyNumberFormat="1" applyFont="1">
      <alignment vertical="center"/>
    </xf>
    <xf numFmtId="0" fontId="93" fillId="0" borderId="0" xfId="0" applyFont="1">
      <alignment vertical="center"/>
    </xf>
    <xf numFmtId="0" fontId="8" fillId="0" borderId="149" xfId="3" applyFont="1" applyBorder="1">
      <alignment vertical="center"/>
    </xf>
    <xf numFmtId="0" fontId="8" fillId="0" borderId="150" xfId="3" applyFont="1" applyBorder="1">
      <alignment vertical="center"/>
    </xf>
    <xf numFmtId="0" fontId="10" fillId="0" borderId="150" xfId="3" applyFont="1" applyBorder="1" applyAlignment="1">
      <alignment vertical="center" wrapText="1"/>
    </xf>
    <xf numFmtId="0" fontId="31" fillId="2" borderId="151" xfId="3" applyFont="1" applyFill="1" applyBorder="1" applyAlignment="1">
      <alignment horizontal="left" vertical="center" wrapText="1" indent="1"/>
    </xf>
    <xf numFmtId="0" fontId="10" fillId="2" borderId="57" xfId="3" applyFont="1" applyFill="1" applyBorder="1" applyAlignment="1">
      <alignment horizontal="center" vertical="center" wrapText="1"/>
    </xf>
    <xf numFmtId="0" fontId="10" fillId="2" borderId="152" xfId="3" applyFont="1" applyFill="1" applyBorder="1" applyAlignment="1">
      <alignment vertical="center" wrapText="1"/>
    </xf>
    <xf numFmtId="0" fontId="8" fillId="0" borderId="153" xfId="3" applyFont="1" applyBorder="1">
      <alignment vertical="center"/>
    </xf>
    <xf numFmtId="176" fontId="16" fillId="0" borderId="73" xfId="3" applyNumberFormat="1" applyFont="1" applyBorder="1">
      <alignment vertical="center"/>
    </xf>
    <xf numFmtId="0" fontId="8" fillId="0" borderId="154" xfId="3" applyFont="1" applyBorder="1">
      <alignment vertical="center"/>
    </xf>
    <xf numFmtId="177" fontId="15" fillId="0" borderId="78" xfId="3" applyNumberFormat="1" applyFont="1" applyBorder="1" applyAlignment="1">
      <alignment vertical="center" wrapText="1"/>
    </xf>
    <xf numFmtId="178" fontId="32" fillId="0" borderId="76" xfId="3" applyNumberFormat="1" applyFont="1" applyBorder="1">
      <alignment vertical="center"/>
    </xf>
    <xf numFmtId="0" fontId="8" fillId="0" borderId="156" xfId="3" applyFont="1" applyBorder="1">
      <alignment vertical="center"/>
    </xf>
    <xf numFmtId="178" fontId="32" fillId="0" borderId="149" xfId="3" applyNumberFormat="1" applyFont="1" applyBorder="1">
      <alignment vertical="center"/>
    </xf>
    <xf numFmtId="0" fontId="95" fillId="0" borderId="77" xfId="3" applyFont="1" applyBorder="1" applyAlignment="1">
      <alignment vertical="center" wrapText="1"/>
    </xf>
    <xf numFmtId="0" fontId="13" fillId="0" borderId="157" xfId="3" applyFont="1" applyBorder="1" applyAlignment="1">
      <alignment horizontal="right" vertical="center" wrapText="1"/>
    </xf>
    <xf numFmtId="0" fontId="8" fillId="0" borderId="158" xfId="3" applyFont="1" applyBorder="1">
      <alignment vertical="center"/>
    </xf>
    <xf numFmtId="178" fontId="16" fillId="0" borderId="159" xfId="3" applyNumberFormat="1" applyFont="1" applyBorder="1" applyAlignment="1">
      <alignment horizontal="right" vertical="center"/>
    </xf>
    <xf numFmtId="177" fontId="16" fillId="0" borderId="160" xfId="3" applyNumberFormat="1" applyFont="1" applyBorder="1" applyAlignment="1">
      <alignment vertical="center" wrapText="1"/>
    </xf>
    <xf numFmtId="0" fontId="8" fillId="0" borderId="161" xfId="3" applyFont="1" applyBorder="1">
      <alignment vertical="center"/>
    </xf>
    <xf numFmtId="0" fontId="8" fillId="0" borderId="162" xfId="3" applyFont="1" applyBorder="1">
      <alignment vertical="center"/>
    </xf>
    <xf numFmtId="0" fontId="8" fillId="0" borderId="163" xfId="3" applyFont="1" applyBorder="1">
      <alignment vertical="center"/>
    </xf>
    <xf numFmtId="0" fontId="13" fillId="0" borderId="71" xfId="3" applyFont="1" applyBorder="1" applyAlignment="1">
      <alignment horizontal="right" vertical="center" wrapText="1"/>
    </xf>
    <xf numFmtId="179" fontId="22" fillId="0" borderId="0" xfId="2" applyNumberFormat="1" applyFont="1" applyBorder="1" applyAlignment="1">
      <alignment vertical="center" wrapText="1"/>
    </xf>
    <xf numFmtId="187" fontId="22" fillId="0" borderId="0" xfId="2" applyNumberFormat="1" applyFont="1" applyBorder="1" applyAlignment="1">
      <alignment vertical="center" wrapText="1"/>
    </xf>
    <xf numFmtId="188" fontId="96" fillId="0" borderId="155" xfId="1" applyNumberFormat="1" applyFont="1" applyBorder="1">
      <alignment vertical="center"/>
    </xf>
    <xf numFmtId="0" fontId="0" fillId="0" borderId="0" xfId="0" applyFont="1">
      <alignment vertical="center"/>
    </xf>
    <xf numFmtId="9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98" fillId="0" borderId="0" xfId="0" applyFont="1" applyBorder="1">
      <alignment vertical="center"/>
    </xf>
    <xf numFmtId="0" fontId="3" fillId="0" borderId="0" xfId="0" applyFont="1" applyBorder="1">
      <alignment vertical="center"/>
    </xf>
    <xf numFmtId="9" fontId="3" fillId="0" borderId="0" xfId="0" applyNumberFormat="1" applyFont="1">
      <alignment vertical="center"/>
    </xf>
    <xf numFmtId="0" fontId="0" fillId="0" borderId="164" xfId="0" applyBorder="1">
      <alignment vertical="center"/>
    </xf>
    <xf numFmtId="0" fontId="0" fillId="0" borderId="164" xfId="0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89" fillId="0" borderId="0" xfId="0" applyFont="1" applyAlignment="1">
      <alignment horizontal="right"/>
    </xf>
    <xf numFmtId="188" fontId="77" fillId="0" borderId="0" xfId="0" applyNumberFormat="1" applyFont="1" applyAlignment="1"/>
    <xf numFmtId="0" fontId="99" fillId="16" borderId="92" xfId="9" applyFont="1" applyFill="1" applyBorder="1">
      <alignment vertical="center"/>
    </xf>
    <xf numFmtId="0" fontId="1" fillId="0" borderId="96" xfId="9" applyFont="1" applyBorder="1">
      <alignment vertical="center"/>
    </xf>
    <xf numFmtId="0" fontId="99" fillId="16" borderId="0" xfId="9" applyFont="1" applyFill="1" applyBorder="1">
      <alignment vertical="center"/>
    </xf>
    <xf numFmtId="0" fontId="1" fillId="16" borderId="92" xfId="9" applyFont="1" applyFill="1" applyBorder="1">
      <alignment vertical="center"/>
    </xf>
    <xf numFmtId="0" fontId="100" fillId="0" borderId="5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0" fontId="100" fillId="0" borderId="33" xfId="0" applyFont="1" applyBorder="1" applyAlignment="1">
      <alignment horizontal="center" vertical="center"/>
    </xf>
    <xf numFmtId="0" fontId="101" fillId="0" borderId="0" xfId="0" applyFont="1">
      <alignment vertical="center"/>
    </xf>
    <xf numFmtId="199" fontId="83" fillId="14" borderId="33" xfId="1" applyNumberFormat="1" applyFont="1" applyFill="1" applyBorder="1">
      <alignment vertical="center"/>
    </xf>
    <xf numFmtId="199" fontId="83" fillId="14" borderId="5" xfId="1" applyNumberFormat="1" applyFont="1" applyFill="1" applyBorder="1">
      <alignment vertical="center"/>
    </xf>
    <xf numFmtId="199" fontId="83" fillId="17" borderId="33" xfId="1" applyNumberFormat="1" applyFont="1" applyFill="1" applyBorder="1">
      <alignment vertical="center"/>
    </xf>
    <xf numFmtId="199" fontId="83" fillId="17" borderId="5" xfId="1" applyNumberFormat="1" applyFont="1" applyFill="1" applyBorder="1">
      <alignment vertical="center"/>
    </xf>
    <xf numFmtId="199" fontId="83" fillId="15" borderId="33" xfId="1" applyNumberFormat="1" applyFont="1" applyFill="1" applyBorder="1">
      <alignment vertical="center"/>
    </xf>
    <xf numFmtId="199" fontId="83" fillId="15" borderId="5" xfId="1" applyNumberFormat="1" applyFont="1" applyFill="1" applyBorder="1">
      <alignment vertical="center"/>
    </xf>
    <xf numFmtId="199" fontId="83" fillId="18" borderId="33" xfId="1" applyNumberFormat="1" applyFont="1" applyFill="1" applyBorder="1">
      <alignment vertical="center"/>
    </xf>
    <xf numFmtId="199" fontId="83" fillId="18" borderId="5" xfId="1" applyNumberFormat="1" applyFont="1" applyFill="1" applyBorder="1">
      <alignment vertical="center"/>
    </xf>
    <xf numFmtId="199" fontId="83" fillId="19" borderId="5" xfId="1" applyNumberFormat="1" applyFont="1" applyFill="1" applyBorder="1">
      <alignment vertical="center"/>
    </xf>
    <xf numFmtId="199" fontId="83" fillId="19" borderId="33" xfId="1" applyNumberFormat="1" applyFont="1" applyFill="1" applyBorder="1">
      <alignment vertical="center"/>
    </xf>
    <xf numFmtId="199" fontId="83" fillId="20" borderId="33" xfId="1" applyNumberFormat="1" applyFont="1" applyFill="1" applyBorder="1">
      <alignment vertical="center"/>
    </xf>
    <xf numFmtId="199" fontId="83" fillId="20" borderId="5" xfId="1" applyNumberFormat="1" applyFont="1" applyFill="1" applyBorder="1">
      <alignment vertical="center"/>
    </xf>
    <xf numFmtId="199" fontId="83" fillId="7" borderId="33" xfId="1" applyNumberFormat="1" applyFont="1" applyFill="1" applyBorder="1">
      <alignment vertical="center"/>
    </xf>
    <xf numFmtId="199" fontId="83" fillId="7" borderId="5" xfId="1" applyNumberFormat="1" applyFont="1" applyFill="1" applyBorder="1">
      <alignment vertical="center"/>
    </xf>
    <xf numFmtId="199" fontId="83" fillId="21" borderId="33" xfId="1" applyNumberFormat="1" applyFont="1" applyFill="1" applyBorder="1">
      <alignment vertical="center"/>
    </xf>
    <xf numFmtId="199" fontId="83" fillId="21" borderId="5" xfId="1" applyNumberFormat="1" applyFont="1" applyFill="1" applyBorder="1">
      <alignment vertical="center"/>
    </xf>
    <xf numFmtId="183" fontId="26" fillId="0" borderId="8" xfId="13" applyNumberFormat="1" applyFont="1" applyBorder="1" applyAlignment="1">
      <alignment horizontal="right" vertical="center"/>
    </xf>
    <xf numFmtId="182" fontId="88" fillId="0" borderId="165" xfId="9" applyNumberFormat="1" applyFont="1" applyFill="1" applyBorder="1">
      <alignment vertical="center"/>
    </xf>
    <xf numFmtId="205" fontId="90" fillId="0" borderId="0" xfId="0" applyNumberFormat="1" applyFont="1" applyAlignment="1">
      <alignment horizontal="center" vertical="center"/>
    </xf>
    <xf numFmtId="205" fontId="26" fillId="0" borderId="0" xfId="0" applyNumberFormat="1" applyFont="1" applyAlignment="1">
      <alignment horizontal="center" vertical="center"/>
    </xf>
    <xf numFmtId="190" fontId="26" fillId="22" borderId="112" xfId="7" applyNumberFormat="1" applyFont="1" applyFill="1" applyBorder="1">
      <alignment vertical="center"/>
    </xf>
    <xf numFmtId="190" fontId="26" fillId="22" borderId="117" xfId="7" applyNumberFormat="1" applyFont="1" applyFill="1" applyBorder="1">
      <alignment vertical="center"/>
    </xf>
    <xf numFmtId="179" fontId="82" fillId="22" borderId="113" xfId="11" applyNumberFormat="1" applyFont="1" applyFill="1" applyBorder="1">
      <alignment vertical="center"/>
    </xf>
    <xf numFmtId="179" fontId="82" fillId="22" borderId="117" xfId="11" applyNumberFormat="1" applyFont="1" applyFill="1" applyBorder="1">
      <alignment vertical="center"/>
    </xf>
    <xf numFmtId="179" fontId="82" fillId="22" borderId="118" xfId="11" applyNumberFormat="1" applyFont="1" applyFill="1" applyBorder="1">
      <alignment vertical="center"/>
    </xf>
    <xf numFmtId="182" fontId="87" fillId="22" borderId="113" xfId="9" applyNumberFormat="1" applyFont="1" applyFill="1" applyBorder="1">
      <alignment vertical="center"/>
    </xf>
    <xf numFmtId="182" fontId="87" fillId="22" borderId="118" xfId="9" applyNumberFormat="1" applyFont="1" applyFill="1" applyBorder="1">
      <alignment vertical="center"/>
    </xf>
    <xf numFmtId="190" fontId="83" fillId="22" borderId="113" xfId="7" applyNumberFormat="1" applyFont="1" applyFill="1" applyBorder="1">
      <alignment vertical="center"/>
    </xf>
    <xf numFmtId="190" fontId="83" fillId="22" borderId="118" xfId="7" applyNumberFormat="1" applyFont="1" applyFill="1" applyBorder="1">
      <alignment vertical="center"/>
    </xf>
    <xf numFmtId="0" fontId="47" fillId="0" borderId="0" xfId="0" applyFont="1" applyFill="1">
      <alignment vertical="center"/>
    </xf>
    <xf numFmtId="8" fontId="1" fillId="0" borderId="0" xfId="13" applyNumberFormat="1">
      <alignment vertical="center"/>
    </xf>
    <xf numFmtId="0" fontId="103" fillId="0" borderId="0" xfId="0" applyFont="1">
      <alignment vertical="center"/>
    </xf>
    <xf numFmtId="0" fontId="103" fillId="0" borderId="0" xfId="0" applyFont="1" applyBorder="1">
      <alignment vertical="center"/>
    </xf>
    <xf numFmtId="190" fontId="54" fillId="0" borderId="0" xfId="7" applyNumberFormat="1" applyFont="1" applyFill="1" applyBorder="1">
      <alignment vertical="center"/>
    </xf>
    <xf numFmtId="0" fontId="3" fillId="23" borderId="0" xfId="0" applyFont="1" applyFill="1" applyBorder="1">
      <alignment vertical="center"/>
    </xf>
    <xf numFmtId="0" fontId="3" fillId="23" borderId="0" xfId="0" applyFont="1" applyFill="1" applyBorder="1" applyAlignment="1">
      <alignment horizontal="center" vertical="center"/>
    </xf>
    <xf numFmtId="0" fontId="3" fillId="23" borderId="0" xfId="3" applyFont="1" applyFill="1" applyBorder="1" applyAlignment="1">
      <alignment horizontal="right" vertical="center"/>
    </xf>
    <xf numFmtId="0" fontId="3" fillId="23" borderId="0" xfId="0" applyFont="1" applyFill="1" applyAlignment="1">
      <alignment horizontal="center" vertical="center"/>
    </xf>
    <xf numFmtId="0" fontId="3" fillId="23" borderId="0" xfId="3" applyFont="1" applyFill="1" applyBorder="1" applyAlignment="1">
      <alignment horizontal="center" vertical="center"/>
    </xf>
    <xf numFmtId="0" fontId="104" fillId="0" borderId="5" xfId="0" applyFont="1" applyBorder="1">
      <alignment vertical="center"/>
    </xf>
    <xf numFmtId="0" fontId="104" fillId="0" borderId="8" xfId="0" applyFont="1" applyBorder="1">
      <alignment vertical="center"/>
    </xf>
    <xf numFmtId="0" fontId="104" fillId="0" borderId="33" xfId="0" applyFont="1" applyBorder="1">
      <alignment vertical="center"/>
    </xf>
    <xf numFmtId="0" fontId="31" fillId="3" borderId="77" xfId="3" applyFont="1" applyFill="1" applyBorder="1" applyAlignment="1">
      <alignment horizontal="left" vertical="center" wrapText="1" indent="1"/>
    </xf>
    <xf numFmtId="0" fontId="10" fillId="3" borderId="76" xfId="3" applyFont="1" applyFill="1" applyBorder="1" applyAlignment="1">
      <alignment horizontal="center" vertical="center" wrapText="1"/>
    </xf>
    <xf numFmtId="0" fontId="10" fillId="3" borderId="78" xfId="3" applyFont="1" applyFill="1" applyBorder="1" applyAlignment="1">
      <alignment horizontal="left" vertical="center" wrapText="1" indent="1"/>
    </xf>
    <xf numFmtId="0" fontId="37" fillId="5" borderId="50" xfId="3" applyFont="1" applyFill="1" applyBorder="1" applyAlignment="1">
      <alignment vertical="center" wrapText="1"/>
    </xf>
    <xf numFmtId="178" fontId="32" fillId="5" borderId="46" xfId="3" applyNumberFormat="1" applyFont="1" applyFill="1" applyBorder="1">
      <alignment vertical="center"/>
    </xf>
    <xf numFmtId="177" fontId="29" fillId="5" borderId="61" xfId="3" applyNumberFormat="1" applyFont="1" applyFill="1" applyBorder="1" applyAlignment="1">
      <alignment vertical="center" wrapText="1"/>
    </xf>
    <xf numFmtId="178" fontId="32" fillId="5" borderId="48" xfId="3" applyNumberFormat="1" applyFont="1" applyFill="1" applyBorder="1">
      <alignment vertical="center"/>
    </xf>
    <xf numFmtId="178" fontId="32" fillId="5" borderId="47" xfId="3" applyNumberFormat="1" applyFont="1" applyFill="1" applyBorder="1">
      <alignment vertical="center"/>
    </xf>
    <xf numFmtId="177" fontId="29" fillId="5" borderId="63" xfId="3" applyNumberFormat="1" applyFont="1" applyFill="1" applyBorder="1" applyAlignment="1">
      <alignment vertical="center" wrapText="1"/>
    </xf>
    <xf numFmtId="0" fontId="37" fillId="5" borderId="52" xfId="3" applyFont="1" applyFill="1" applyBorder="1" applyAlignment="1">
      <alignment vertical="center" wrapText="1"/>
    </xf>
    <xf numFmtId="178" fontId="32" fillId="5" borderId="45" xfId="3" applyNumberFormat="1" applyFont="1" applyFill="1" applyBorder="1">
      <alignment vertical="center"/>
    </xf>
    <xf numFmtId="177" fontId="29" fillId="5" borderId="64" xfId="3" applyNumberFormat="1" applyFont="1" applyFill="1" applyBorder="1" applyAlignment="1">
      <alignment vertical="center" wrapText="1"/>
    </xf>
    <xf numFmtId="199" fontId="26" fillId="0" borderId="8" xfId="13" applyNumberFormat="1" applyFont="1" applyBorder="1" applyAlignment="1">
      <alignment horizontal="right" vertical="center"/>
    </xf>
    <xf numFmtId="179" fontId="57" fillId="0" borderId="0" xfId="6" applyNumberFormat="1" applyFont="1" applyFill="1" applyBorder="1">
      <alignment vertical="center"/>
    </xf>
    <xf numFmtId="0" fontId="1" fillId="0" borderId="0" xfId="5" applyFont="1" applyBorder="1">
      <alignment vertical="center"/>
    </xf>
    <xf numFmtId="0" fontId="104" fillId="9" borderId="5" xfId="5" applyFont="1" applyFill="1" applyBorder="1">
      <alignment vertical="center"/>
    </xf>
    <xf numFmtId="0" fontId="104" fillId="9" borderId="8" xfId="5" applyFont="1" applyFill="1" applyBorder="1">
      <alignment vertical="center"/>
    </xf>
    <xf numFmtId="0" fontId="67" fillId="23" borderId="101" xfId="12" applyFont="1" applyFill="1" applyBorder="1" applyAlignment="1">
      <alignment horizontal="centerContinuous" vertical="center"/>
    </xf>
    <xf numFmtId="182" fontId="105" fillId="13" borderId="0" xfId="13" applyNumberFormat="1" applyFont="1" applyFill="1">
      <alignment vertical="center"/>
    </xf>
    <xf numFmtId="182" fontId="105" fillId="13" borderId="5" xfId="13" applyNumberFormat="1" applyFont="1" applyFill="1" applyBorder="1">
      <alignment vertical="center"/>
    </xf>
    <xf numFmtId="191" fontId="106" fillId="13" borderId="0" xfId="12" applyNumberFormat="1" applyFont="1" applyFill="1">
      <alignment vertical="center"/>
    </xf>
    <xf numFmtId="197" fontId="106" fillId="12" borderId="0" xfId="12" applyNumberFormat="1" applyFont="1" applyFill="1" applyProtection="1">
      <alignment vertical="center"/>
      <protection locked="0"/>
    </xf>
    <xf numFmtId="10" fontId="106" fillId="13" borderId="0" xfId="14" applyNumberFormat="1" applyFont="1" applyFill="1" applyBorder="1" applyProtection="1">
      <alignment vertical="center"/>
      <protection locked="0"/>
    </xf>
    <xf numFmtId="185" fontId="106" fillId="13" borderId="0" xfId="12" applyNumberFormat="1" applyFont="1" applyFill="1" applyProtection="1">
      <alignment vertical="center"/>
      <protection locked="0"/>
    </xf>
    <xf numFmtId="198" fontId="106" fillId="13" borderId="0" xfId="12" applyNumberFormat="1" applyFont="1" applyFill="1" applyProtection="1">
      <alignment vertical="center"/>
      <protection locked="0"/>
    </xf>
    <xf numFmtId="10" fontId="106" fillId="13" borderId="5" xfId="14" applyNumberFormat="1" applyFont="1" applyFill="1" applyBorder="1" applyProtection="1">
      <alignment vertical="center"/>
      <protection locked="0"/>
    </xf>
    <xf numFmtId="197" fontId="106" fillId="13" borderId="0" xfId="12" applyNumberFormat="1" applyFont="1" applyFill="1" applyProtection="1">
      <alignment vertical="center"/>
      <protection locked="0"/>
    </xf>
    <xf numFmtId="197" fontId="105" fillId="14" borderId="0" xfId="12" applyNumberFormat="1" applyFont="1" applyFill="1" applyProtection="1">
      <alignment vertical="center"/>
      <protection hidden="1"/>
    </xf>
    <xf numFmtId="176" fontId="107" fillId="3" borderId="2" xfId="3" applyNumberFormat="1" applyFont="1" applyFill="1" applyBorder="1">
      <alignment vertical="center"/>
    </xf>
    <xf numFmtId="178" fontId="107" fillId="2" borderId="2" xfId="3" applyNumberFormat="1" applyFont="1" applyFill="1" applyBorder="1">
      <alignment vertical="center"/>
    </xf>
    <xf numFmtId="176" fontId="107" fillId="0" borderId="76" xfId="3" applyNumberFormat="1" applyFont="1" applyBorder="1">
      <alignment vertical="center"/>
    </xf>
    <xf numFmtId="178" fontId="107" fillId="0" borderId="13" xfId="3" applyNumberFormat="1" applyFont="1" applyBorder="1">
      <alignment vertical="center"/>
    </xf>
    <xf numFmtId="9" fontId="90" fillId="0" borderId="0" xfId="2" applyFont="1">
      <alignment vertical="center"/>
    </xf>
    <xf numFmtId="0" fontId="50" fillId="9" borderId="126" xfId="9" applyFont="1" applyFill="1" applyBorder="1">
      <alignment vertical="center"/>
    </xf>
    <xf numFmtId="197" fontId="105" fillId="13" borderId="0" xfId="12" applyNumberFormat="1" applyFont="1" applyFill="1" applyProtection="1">
      <alignment vertical="center"/>
      <protection hidden="1"/>
    </xf>
    <xf numFmtId="0" fontId="111" fillId="0" borderId="0" xfId="0" applyFont="1">
      <alignment vertical="center"/>
    </xf>
    <xf numFmtId="0" fontId="111" fillId="0" borderId="0" xfId="0" applyFont="1" applyAlignment="1">
      <alignment horizontal="center" vertical="center"/>
    </xf>
    <xf numFmtId="0" fontId="112" fillId="0" borderId="0" xfId="3" applyFont="1" applyFill="1" applyBorder="1" applyAlignment="1">
      <alignment horizontal="center" vertical="center"/>
    </xf>
    <xf numFmtId="183" fontId="111" fillId="0" borderId="0" xfId="0" applyNumberFormat="1" applyFont="1">
      <alignment vertical="center"/>
    </xf>
    <xf numFmtId="182" fontId="111" fillId="0" borderId="0" xfId="0" applyNumberFormat="1" applyFont="1">
      <alignment vertical="center"/>
    </xf>
    <xf numFmtId="191" fontId="111" fillId="0" borderId="0" xfId="0" applyNumberFormat="1" applyFont="1">
      <alignment vertical="center"/>
    </xf>
    <xf numFmtId="182" fontId="113" fillId="0" borderId="0" xfId="0" applyNumberFormat="1" applyFont="1" applyAlignment="1">
      <alignment horizontal="center" vertical="center"/>
    </xf>
    <xf numFmtId="0" fontId="0" fillId="23" borderId="43" xfId="0" applyFill="1" applyBorder="1" applyAlignment="1">
      <alignment horizontal="center" vertical="center"/>
    </xf>
    <xf numFmtId="0" fontId="0" fillId="23" borderId="5" xfId="0" applyFill="1" applyBorder="1" applyAlignment="1">
      <alignment horizontal="right" vertical="center"/>
    </xf>
    <xf numFmtId="0" fontId="0" fillId="23" borderId="0" xfId="0" applyFill="1" applyAlignment="1">
      <alignment horizontal="right" vertical="center"/>
    </xf>
    <xf numFmtId="0" fontId="114" fillId="0" borderId="5" xfId="0" applyFont="1" applyBorder="1" applyAlignment="1">
      <alignment horizontal="right" vertical="center"/>
    </xf>
    <xf numFmtId="185" fontId="105" fillId="0" borderId="33" xfId="0" applyNumberFormat="1" applyFont="1" applyBorder="1">
      <alignment vertical="center"/>
    </xf>
    <xf numFmtId="179" fontId="105" fillId="0" borderId="33" xfId="0" applyNumberFormat="1" applyFont="1" applyBorder="1">
      <alignment vertical="center"/>
    </xf>
    <xf numFmtId="202" fontId="105" fillId="0" borderId="33" xfId="2" applyNumberFormat="1" applyFont="1" applyBorder="1">
      <alignment vertical="center"/>
    </xf>
    <xf numFmtId="0" fontId="115" fillId="0" borderId="0" xfId="0" applyFont="1">
      <alignment vertical="center"/>
    </xf>
    <xf numFmtId="0" fontId="72" fillId="0" borderId="0" xfId="0" applyFont="1" applyFill="1">
      <alignment vertical="center"/>
    </xf>
    <xf numFmtId="0" fontId="0" fillId="0" borderId="166" xfId="0" applyBorder="1">
      <alignment vertical="center"/>
    </xf>
    <xf numFmtId="0" fontId="0" fillId="0" borderId="167" xfId="0" applyBorder="1">
      <alignment vertical="center"/>
    </xf>
    <xf numFmtId="0" fontId="0" fillId="0" borderId="168" xfId="0" applyBorder="1">
      <alignment vertical="center"/>
    </xf>
    <xf numFmtId="0" fontId="0" fillId="0" borderId="169" xfId="0" applyBorder="1">
      <alignment vertical="center"/>
    </xf>
    <xf numFmtId="0" fontId="0" fillId="0" borderId="170" xfId="0" applyBorder="1">
      <alignment vertical="center"/>
    </xf>
    <xf numFmtId="0" fontId="0" fillId="0" borderId="171" xfId="0" applyBorder="1">
      <alignment vertical="center"/>
    </xf>
    <xf numFmtId="0" fontId="0" fillId="0" borderId="172" xfId="0" applyBorder="1">
      <alignment vertical="center"/>
    </xf>
    <xf numFmtId="0" fontId="0" fillId="0" borderId="173" xfId="0" applyBorder="1">
      <alignment vertical="center"/>
    </xf>
    <xf numFmtId="0" fontId="72" fillId="0" borderId="0" xfId="0" applyFont="1" applyFill="1" applyBorder="1">
      <alignment vertical="center"/>
    </xf>
    <xf numFmtId="179" fontId="89" fillId="0" borderId="8" xfId="2" applyNumberFormat="1" applyFont="1" applyBorder="1">
      <alignment vertical="center"/>
    </xf>
    <xf numFmtId="202" fontId="90" fillId="0" borderId="8" xfId="2" applyNumberFormat="1" applyFont="1" applyBorder="1" applyAlignment="1">
      <alignment horizontal="right" vertical="center"/>
    </xf>
    <xf numFmtId="0" fontId="0" fillId="23" borderId="8" xfId="0" applyFill="1" applyBorder="1" applyAlignment="1">
      <alignment horizontal="center" vertical="center"/>
    </xf>
    <xf numFmtId="0" fontId="0" fillId="23" borderId="8" xfId="0" applyFill="1" applyBorder="1" applyAlignment="1">
      <alignment horizontal="right" vertical="center"/>
    </xf>
    <xf numFmtId="0" fontId="70" fillId="0" borderId="8" xfId="13" applyFont="1" applyBorder="1" applyAlignment="1">
      <alignment horizontal="right" vertical="center"/>
    </xf>
    <xf numFmtId="0" fontId="1" fillId="0" borderId="8" xfId="13" applyBorder="1" applyAlignment="1">
      <alignment horizontal="right" vertical="center"/>
    </xf>
    <xf numFmtId="0" fontId="45" fillId="23" borderId="86" xfId="0" applyFont="1" applyFill="1" applyBorder="1" applyAlignment="1" applyProtection="1">
      <alignment horizontal="center" vertical="center"/>
      <protection hidden="1"/>
    </xf>
    <xf numFmtId="0" fontId="45" fillId="23" borderId="88" xfId="0" applyFont="1" applyFill="1" applyBorder="1" applyAlignment="1" applyProtection="1">
      <alignment horizontal="center" vertical="center"/>
      <protection hidden="1"/>
    </xf>
    <xf numFmtId="0" fontId="46" fillId="23" borderId="88" xfId="0" applyFont="1" applyFill="1" applyBorder="1" applyAlignment="1" applyProtection="1">
      <alignment horizontal="center" vertical="center"/>
      <protection hidden="1"/>
    </xf>
    <xf numFmtId="0" fontId="45" fillId="23" borderId="87" xfId="0" applyFont="1" applyFill="1" applyBorder="1" applyAlignment="1" applyProtection="1">
      <alignment horizontal="center" vertical="center"/>
      <protection hidden="1"/>
    </xf>
    <xf numFmtId="0" fontId="3" fillId="23" borderId="5" xfId="13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04" fillId="12" borderId="120" xfId="0" applyFont="1" applyFill="1" applyBorder="1" applyAlignment="1">
      <alignment horizontal="center" vertical="center"/>
    </xf>
    <xf numFmtId="0" fontId="104" fillId="12" borderId="121" xfId="0" applyFont="1" applyFill="1" applyBorder="1" applyAlignment="1">
      <alignment horizontal="center" vertical="center"/>
    </xf>
    <xf numFmtId="0" fontId="24" fillId="23" borderId="125" xfId="9" applyFont="1" applyFill="1" applyBorder="1">
      <alignment vertical="center"/>
    </xf>
    <xf numFmtId="0" fontId="3" fillId="23" borderId="126" xfId="9" applyFont="1" applyFill="1" applyBorder="1">
      <alignment vertical="center"/>
    </xf>
    <xf numFmtId="0" fontId="109" fillId="23" borderId="125" xfId="9" applyFont="1" applyFill="1" applyBorder="1">
      <alignment vertical="center"/>
    </xf>
    <xf numFmtId="0" fontId="3" fillId="23" borderId="127" xfId="9" applyFont="1" applyFill="1" applyBorder="1">
      <alignment vertical="center"/>
    </xf>
    <xf numFmtId="0" fontId="24" fillId="23" borderId="0" xfId="9" applyFont="1" applyFill="1" applyBorder="1">
      <alignment vertical="center"/>
    </xf>
    <xf numFmtId="0" fontId="3" fillId="23" borderId="125" xfId="9" applyFont="1" applyFill="1" applyBorder="1">
      <alignment vertical="center"/>
    </xf>
    <xf numFmtId="0" fontId="3" fillId="23" borderId="0" xfId="9" applyFont="1" applyFill="1" applyBorder="1">
      <alignment vertical="center"/>
    </xf>
    <xf numFmtId="0" fontId="3" fillId="0" borderId="0" xfId="5" applyFont="1" applyFill="1" applyBorder="1" applyAlignment="1">
      <alignment horizontal="right" vertical="center"/>
    </xf>
    <xf numFmtId="0" fontId="67" fillId="23" borderId="0" xfId="5" applyFont="1" applyFill="1" applyBorder="1" applyAlignment="1">
      <alignment horizontal="left" vertical="center"/>
    </xf>
    <xf numFmtId="0" fontId="47" fillId="23" borderId="0" xfId="5" applyFont="1" applyFill="1" applyBorder="1" applyAlignment="1">
      <alignment horizontal="left" vertical="center"/>
    </xf>
    <xf numFmtId="0" fontId="3" fillId="23" borderId="5" xfId="5" applyFont="1" applyFill="1" applyBorder="1">
      <alignment vertical="center"/>
    </xf>
    <xf numFmtId="0" fontId="3" fillId="23" borderId="8" xfId="5" applyFont="1" applyFill="1" applyBorder="1">
      <alignment vertical="center"/>
    </xf>
    <xf numFmtId="0" fontId="45" fillId="23" borderId="8" xfId="5" applyFont="1" applyFill="1" applyBorder="1">
      <alignment vertical="center"/>
    </xf>
    <xf numFmtId="0" fontId="45" fillId="23" borderId="33" xfId="5" applyFont="1" applyFill="1" applyBorder="1">
      <alignment vertical="center"/>
    </xf>
    <xf numFmtId="0" fontId="3" fillId="23" borderId="11" xfId="5" applyFont="1" applyFill="1" applyBorder="1">
      <alignment vertical="center"/>
    </xf>
    <xf numFmtId="0" fontId="45" fillId="23" borderId="5" xfId="5" applyFont="1" applyFill="1" applyBorder="1">
      <alignment vertical="center"/>
    </xf>
    <xf numFmtId="0" fontId="45" fillId="23" borderId="11" xfId="5" applyFont="1" applyFill="1" applyBorder="1">
      <alignment vertical="center"/>
    </xf>
    <xf numFmtId="0" fontId="46" fillId="23" borderId="8" xfId="5" applyFont="1" applyFill="1" applyBorder="1">
      <alignment vertical="center"/>
    </xf>
    <xf numFmtId="0" fontId="3" fillId="23" borderId="33" xfId="5" applyFont="1" applyFill="1" applyBorder="1" applyAlignment="1">
      <alignment horizontal="right" vertical="center"/>
    </xf>
    <xf numFmtId="0" fontId="3" fillId="23" borderId="33" xfId="5" applyFont="1" applyFill="1" applyBorder="1">
      <alignment vertical="center"/>
    </xf>
    <xf numFmtId="0" fontId="45" fillId="23" borderId="33" xfId="5" applyFont="1" applyFill="1" applyBorder="1" applyAlignment="1">
      <alignment horizontal="right" vertical="center"/>
    </xf>
    <xf numFmtId="0" fontId="99" fillId="8" borderId="93" xfId="5" applyFont="1" applyFill="1" applyBorder="1">
      <alignment vertical="center"/>
    </xf>
    <xf numFmtId="0" fontId="3" fillId="23" borderId="0" xfId="5" applyFont="1" applyFill="1" applyBorder="1">
      <alignment vertical="center"/>
    </xf>
    <xf numFmtId="0" fontId="116" fillId="14" borderId="5" xfId="5" applyFont="1" applyFill="1" applyBorder="1">
      <alignment vertical="center"/>
    </xf>
    <xf numFmtId="0" fontId="116" fillId="14" borderId="8" xfId="5" applyFont="1" applyFill="1" applyBorder="1">
      <alignment vertical="center"/>
    </xf>
    <xf numFmtId="0" fontId="116" fillId="14" borderId="33" xfId="5" applyFont="1" applyFill="1" applyBorder="1">
      <alignment vertical="center"/>
    </xf>
    <xf numFmtId="0" fontId="105" fillId="14" borderId="5" xfId="5" applyFont="1" applyFill="1" applyBorder="1">
      <alignment vertical="center"/>
    </xf>
    <xf numFmtId="193" fontId="105" fillId="14" borderId="8" xfId="5" applyNumberFormat="1" applyFont="1" applyFill="1" applyBorder="1">
      <alignment vertical="center"/>
    </xf>
    <xf numFmtId="193" fontId="105" fillId="14" borderId="33" xfId="5" applyNumberFormat="1" applyFont="1" applyFill="1" applyBorder="1">
      <alignment vertical="center"/>
    </xf>
    <xf numFmtId="0" fontId="105" fillId="8" borderId="5" xfId="5" applyFont="1" applyFill="1" applyBorder="1">
      <alignment vertical="center"/>
    </xf>
    <xf numFmtId="0" fontId="106" fillId="8" borderId="5" xfId="5" applyFont="1" applyFill="1" applyBorder="1">
      <alignment vertical="center"/>
    </xf>
    <xf numFmtId="0" fontId="105" fillId="8" borderId="33" xfId="5" applyFont="1" applyFill="1" applyBorder="1">
      <alignment vertical="center"/>
    </xf>
    <xf numFmtId="0" fontId="106" fillId="8" borderId="33" xfId="5" applyFont="1" applyFill="1" applyBorder="1">
      <alignment vertical="center"/>
    </xf>
    <xf numFmtId="0" fontId="0" fillId="0" borderId="92" xfId="5" applyFont="1" applyBorder="1">
      <alignment vertical="center"/>
    </xf>
    <xf numFmtId="0" fontId="117" fillId="0" borderId="92" xfId="5" applyFont="1" applyBorder="1" applyAlignment="1">
      <alignment horizontal="center" vertical="center"/>
    </xf>
    <xf numFmtId="0" fontId="45" fillId="23" borderId="33" xfId="9" applyFont="1" applyFill="1" applyBorder="1" applyAlignment="1"/>
    <xf numFmtId="192" fontId="63" fillId="23" borderId="33" xfId="7" applyNumberFormat="1" applyFont="1" applyFill="1" applyBorder="1" applyAlignment="1"/>
    <xf numFmtId="196" fontId="63" fillId="23" borderId="33" xfId="9" applyNumberFormat="1" applyFont="1" applyFill="1" applyBorder="1" applyAlignment="1"/>
    <xf numFmtId="10" fontId="63" fillId="23" borderId="33" xfId="9" applyNumberFormat="1" applyFont="1" applyFill="1" applyBorder="1" applyAlignment="1"/>
    <xf numFmtId="189" fontId="63" fillId="23" borderId="33" xfId="7" applyNumberFormat="1" applyFont="1" applyFill="1" applyBorder="1" applyAlignment="1"/>
    <xf numFmtId="0" fontId="3" fillId="23" borderId="103" xfId="9" applyFont="1" applyFill="1" applyBorder="1">
      <alignment vertical="center"/>
    </xf>
    <xf numFmtId="0" fontId="3" fillId="23" borderId="105" xfId="9" applyFont="1" applyFill="1" applyBorder="1">
      <alignment vertical="center"/>
    </xf>
    <xf numFmtId="0" fontId="3" fillId="23" borderId="107" xfId="9" applyFont="1" applyFill="1" applyBorder="1">
      <alignment vertical="center"/>
    </xf>
    <xf numFmtId="0" fontId="118" fillId="0" borderId="0" xfId="0" applyFont="1">
      <alignment vertical="center"/>
    </xf>
    <xf numFmtId="0" fontId="1" fillId="24" borderId="8" xfId="9" applyFont="1" applyFill="1" applyBorder="1">
      <alignment vertical="center"/>
    </xf>
    <xf numFmtId="0" fontId="60" fillId="24" borderId="8" xfId="9" applyFont="1" applyFill="1" applyBorder="1">
      <alignment vertical="center"/>
    </xf>
    <xf numFmtId="0" fontId="104" fillId="24" borderId="5" xfId="5" applyFont="1" applyFill="1" applyBorder="1">
      <alignment vertical="center"/>
    </xf>
    <xf numFmtId="0" fontId="104" fillId="24" borderId="8" xfId="5" applyFont="1" applyFill="1" applyBorder="1">
      <alignment vertical="center"/>
    </xf>
    <xf numFmtId="0" fontId="114" fillId="24" borderId="128" xfId="9" applyFont="1" applyFill="1" applyBorder="1">
      <alignment vertical="center"/>
    </xf>
    <xf numFmtId="0" fontId="114" fillId="24" borderId="126" xfId="9" applyFont="1" applyFill="1" applyBorder="1">
      <alignment vertical="center"/>
    </xf>
    <xf numFmtId="0" fontId="114" fillId="24" borderId="129" xfId="9" applyFont="1" applyFill="1" applyBorder="1">
      <alignment vertical="center"/>
    </xf>
    <xf numFmtId="0" fontId="89" fillId="24" borderId="132" xfId="9" applyFont="1" applyFill="1" applyBorder="1">
      <alignment vertical="center"/>
    </xf>
    <xf numFmtId="0" fontId="89" fillId="24" borderId="133" xfId="9" applyFont="1" applyFill="1" applyBorder="1">
      <alignment vertical="center"/>
    </xf>
    <xf numFmtId="0" fontId="89" fillId="24" borderId="135" xfId="9" applyFont="1" applyFill="1" applyBorder="1">
      <alignment vertical="center"/>
    </xf>
    <xf numFmtId="0" fontId="89" fillId="24" borderId="134" xfId="9" applyFont="1" applyFill="1" applyBorder="1">
      <alignment vertical="center"/>
    </xf>
    <xf numFmtId="0" fontId="89" fillId="24" borderId="126" xfId="9" applyFont="1" applyFill="1" applyBorder="1">
      <alignment vertical="center"/>
    </xf>
    <xf numFmtId="0" fontId="2" fillId="0" borderId="0" xfId="0" applyFont="1" applyBorder="1" applyAlignment="1" applyProtection="1">
      <alignment horizontal="left" vertical="center"/>
      <protection hidden="1"/>
    </xf>
    <xf numFmtId="177" fontId="14" fillId="0" borderId="66" xfId="2" applyNumberFormat="1" applyFont="1" applyBorder="1">
      <alignment vertical="center"/>
    </xf>
    <xf numFmtId="177" fontId="14" fillId="0" borderId="69" xfId="2" applyNumberFormat="1" applyFont="1" applyBorder="1">
      <alignment vertical="center"/>
    </xf>
    <xf numFmtId="177" fontId="14" fillId="0" borderId="59" xfId="2" applyNumberFormat="1" applyFont="1" applyBorder="1">
      <alignment vertical="center"/>
    </xf>
    <xf numFmtId="0" fontId="8" fillId="0" borderId="35" xfId="3" applyFont="1" applyBorder="1">
      <alignment vertical="center"/>
    </xf>
    <xf numFmtId="0" fontId="8" fillId="0" borderId="36" xfId="3" applyFont="1" applyBorder="1">
      <alignment vertical="center"/>
    </xf>
    <xf numFmtId="0" fontId="122" fillId="0" borderId="34" xfId="3" applyFont="1" applyBorder="1">
      <alignment vertical="center"/>
    </xf>
    <xf numFmtId="0" fontId="18" fillId="0" borderId="37" xfId="3" applyFont="1" applyBorder="1" applyAlignment="1">
      <alignment horizontal="left" vertical="center" indent="1"/>
    </xf>
    <xf numFmtId="0" fontId="18" fillId="0" borderId="0" xfId="3" applyFont="1" applyBorder="1">
      <alignment vertical="center"/>
    </xf>
    <xf numFmtId="0" fontId="18" fillId="0" borderId="38" xfId="3" applyFont="1" applyBorder="1">
      <alignment vertical="center"/>
    </xf>
    <xf numFmtId="0" fontId="1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3" fillId="0" borderId="0" xfId="0" applyFont="1" applyAlignment="1">
      <alignment horizontal="center" vertical="center"/>
    </xf>
    <xf numFmtId="0" fontId="114" fillId="0" borderId="0" xfId="0" applyFont="1">
      <alignment vertical="center"/>
    </xf>
    <xf numFmtId="0" fontId="124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24" fillId="0" borderId="0" xfId="0" applyFont="1" applyBorder="1">
      <alignment vertical="center"/>
    </xf>
    <xf numFmtId="0" fontId="114" fillId="0" borderId="0" xfId="0" applyFont="1" applyBorder="1">
      <alignment vertical="center"/>
    </xf>
    <xf numFmtId="0" fontId="8" fillId="0" borderId="37" xfId="3" applyFont="1" applyBorder="1">
      <alignment vertical="center"/>
    </xf>
    <xf numFmtId="0" fontId="8" fillId="0" borderId="38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40" xfId="3" applyFont="1" applyBorder="1">
      <alignment vertical="center"/>
    </xf>
    <xf numFmtId="0" fontId="8" fillId="0" borderId="41" xfId="3" applyFont="1" applyBorder="1">
      <alignment vertical="center"/>
    </xf>
    <xf numFmtId="0" fontId="91" fillId="0" borderId="0" xfId="0" applyFont="1">
      <alignment vertical="center"/>
    </xf>
    <xf numFmtId="0" fontId="98" fillId="0" borderId="0" xfId="0" applyFont="1" applyAlignment="1" applyProtection="1">
      <alignment horizontal="right" vertical="center"/>
      <protection locked="0"/>
    </xf>
    <xf numFmtId="1" fontId="97" fillId="0" borderId="0" xfId="2" applyNumberFormat="1" applyFont="1" applyProtection="1">
      <alignment vertical="center"/>
      <protection locked="0"/>
    </xf>
    <xf numFmtId="0" fontId="98" fillId="0" borderId="0" xfId="0" applyFont="1" applyProtection="1">
      <alignment vertical="center"/>
      <protection locked="0"/>
    </xf>
    <xf numFmtId="179" fontId="0" fillId="0" borderId="0" xfId="2" applyNumberFormat="1" applyFont="1">
      <alignment vertical="center"/>
    </xf>
    <xf numFmtId="179" fontId="26" fillId="0" borderId="5" xfId="2" applyNumberFormat="1" applyFont="1" applyBorder="1" applyAlignment="1">
      <alignment horizontal="center" vertical="center"/>
    </xf>
    <xf numFmtId="179" fontId="26" fillId="0" borderId="8" xfId="2" applyNumberFormat="1" applyFont="1" applyBorder="1" applyAlignment="1">
      <alignment horizontal="center" vertical="center"/>
    </xf>
    <xf numFmtId="179" fontId="26" fillId="0" borderId="33" xfId="2" applyNumberFormat="1" applyFont="1" applyBorder="1" applyAlignment="1">
      <alignment horizontal="center" vertical="center"/>
    </xf>
    <xf numFmtId="0" fontId="110" fillId="0" borderId="5" xfId="0" applyFont="1" applyBorder="1" applyAlignment="1">
      <alignment horizontal="left" vertical="center" indent="1"/>
    </xf>
    <xf numFmtId="0" fontId="102" fillId="0" borderId="8" xfId="0" applyFont="1" applyBorder="1" applyAlignment="1">
      <alignment horizontal="left" vertical="center" indent="1"/>
    </xf>
    <xf numFmtId="0" fontId="102" fillId="0" borderId="33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/>
    </xf>
    <xf numFmtId="183" fontId="106" fillId="0" borderId="5" xfId="3" applyNumberFormat="1" applyFont="1" applyBorder="1" applyAlignment="1">
      <alignment horizontal="right" vertical="center"/>
    </xf>
    <xf numFmtId="183" fontId="106" fillId="0" borderId="0" xfId="3" applyNumberFormat="1" applyFont="1" applyBorder="1" applyAlignment="1">
      <alignment horizontal="right" vertical="center"/>
    </xf>
    <xf numFmtId="41" fontId="26" fillId="9" borderId="8" xfId="0" applyNumberFormat="1" applyFont="1" applyFill="1" applyBorder="1">
      <alignment vertical="center"/>
    </xf>
    <xf numFmtId="41" fontId="26" fillId="0" borderId="8" xfId="0" applyNumberFormat="1" applyFont="1" applyBorder="1">
      <alignment vertical="center"/>
    </xf>
    <xf numFmtId="204" fontId="26" fillId="0" borderId="0" xfId="0" applyNumberFormat="1" applyFont="1" applyBorder="1">
      <alignment vertical="center"/>
    </xf>
    <xf numFmtId="188" fontId="90" fillId="0" borderId="0" xfId="1" applyNumberFormat="1" applyFont="1" applyAlignment="1">
      <alignment horizontal="left" vertical="center"/>
    </xf>
    <xf numFmtId="205" fontId="0" fillId="0" borderId="0" xfId="0" applyNumberFormat="1" applyFont="1" applyAlignment="1">
      <alignment horizontal="center" vertical="center"/>
    </xf>
    <xf numFmtId="0" fontId="114" fillId="9" borderId="105" xfId="9" applyFont="1" applyFill="1" applyBorder="1">
      <alignment vertical="center"/>
    </xf>
    <xf numFmtId="190" fontId="129" fillId="0" borderId="110" xfId="7" applyNumberFormat="1" applyFont="1" applyFill="1" applyBorder="1">
      <alignment vertical="center"/>
    </xf>
    <xf numFmtId="192" fontId="129" fillId="0" borderId="106" xfId="7" applyNumberFormat="1" applyFont="1" applyFill="1" applyBorder="1">
      <alignment vertical="center"/>
    </xf>
    <xf numFmtId="189" fontId="129" fillId="0" borderId="108" xfId="7" applyNumberFormat="1" applyFont="1" applyFill="1" applyBorder="1">
      <alignment vertical="center"/>
    </xf>
    <xf numFmtId="0" fontId="0" fillId="12" borderId="0" xfId="12" applyFont="1" applyFill="1">
      <alignment vertical="center"/>
    </xf>
    <xf numFmtId="0" fontId="0" fillId="0" borderId="0" xfId="13" applyFont="1">
      <alignment vertical="center"/>
    </xf>
    <xf numFmtId="191" fontId="1" fillId="0" borderId="0" xfId="13" applyNumberFormat="1">
      <alignment vertical="center"/>
    </xf>
    <xf numFmtId="0" fontId="1" fillId="8" borderId="0" xfId="13" applyFill="1">
      <alignment vertical="center"/>
    </xf>
    <xf numFmtId="199" fontId="130" fillId="8" borderId="0" xfId="12" applyNumberFormat="1" applyFont="1" applyFill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locked="0"/>
    </xf>
    <xf numFmtId="9" fontId="24" fillId="0" borderId="0" xfId="2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9" fontId="97" fillId="0" borderId="0" xfId="2" applyFont="1" applyProtection="1">
      <alignment vertical="center"/>
      <protection locked="0"/>
    </xf>
    <xf numFmtId="0" fontId="97" fillId="0" borderId="0" xfId="0" applyFont="1" applyAlignment="1" applyProtection="1">
      <alignment horizontal="right" vertical="center"/>
      <protection locked="0"/>
    </xf>
    <xf numFmtId="0" fontId="97" fillId="0" borderId="0" xfId="0" applyFont="1" applyProtection="1">
      <alignment vertical="center"/>
      <protection locked="0"/>
    </xf>
    <xf numFmtId="9" fontId="97" fillId="0" borderId="0" xfId="0" applyNumberFormat="1" applyFont="1" applyProtection="1">
      <alignment vertical="center"/>
      <protection locked="0"/>
    </xf>
    <xf numFmtId="179" fontId="97" fillId="0" borderId="0" xfId="2" applyNumberFormat="1" applyFont="1" applyProtection="1">
      <alignment vertical="center"/>
      <protection locked="0"/>
    </xf>
    <xf numFmtId="9" fontId="97" fillId="0" borderId="0" xfId="2" applyNumberFormat="1" applyFont="1" applyProtection="1">
      <alignment vertical="center"/>
      <protection locked="0"/>
    </xf>
    <xf numFmtId="178" fontId="34" fillId="4" borderId="5" xfId="3" applyNumberFormat="1" applyFont="1" applyFill="1" applyBorder="1" applyAlignment="1">
      <alignment vertical="center" wrapText="1"/>
    </xf>
    <xf numFmtId="178" fontId="34" fillId="4" borderId="47" xfId="1" applyNumberFormat="1" applyFont="1" applyFill="1" applyBorder="1">
      <alignment vertical="center"/>
    </xf>
    <xf numFmtId="0" fontId="71" fillId="8" borderId="0" xfId="5" applyFont="1" applyFill="1" applyBorder="1">
      <alignment vertical="center"/>
    </xf>
    <xf numFmtId="206" fontId="59" fillId="15" borderId="0" xfId="3" applyNumberFormat="1" applyFont="1" applyFill="1" applyAlignment="1">
      <alignment horizontal="left"/>
    </xf>
    <xf numFmtId="207" fontId="106" fillId="13" borderId="0" xfId="12" applyNumberFormat="1" applyFont="1" applyFill="1" applyProtection="1">
      <alignment vertical="center"/>
      <protection locked="0"/>
    </xf>
    <xf numFmtId="207" fontId="106" fillId="13" borderId="5" xfId="12" applyNumberFormat="1" applyFont="1" applyFill="1" applyBorder="1" applyProtection="1">
      <alignment vertical="center"/>
      <protection locked="0"/>
    </xf>
    <xf numFmtId="8" fontId="22" fillId="0" borderId="0" xfId="3" applyNumberFormat="1" applyFont="1">
      <alignment vertical="center"/>
    </xf>
    <xf numFmtId="0" fontId="131" fillId="13" borderId="0" xfId="12" applyFont="1" applyFill="1">
      <alignment vertical="center"/>
    </xf>
    <xf numFmtId="0" fontId="23" fillId="13" borderId="0" xfId="12" applyFont="1" applyFill="1">
      <alignment vertical="center"/>
    </xf>
    <xf numFmtId="0" fontId="132" fillId="13" borderId="5" xfId="12" applyFont="1" applyFill="1" applyBorder="1">
      <alignment vertical="center"/>
    </xf>
    <xf numFmtId="0" fontId="5" fillId="0" borderId="79" xfId="3" applyFont="1" applyBorder="1" applyAlignment="1">
      <alignment horizontal="center" vertical="center"/>
    </xf>
    <xf numFmtId="0" fontId="5" fillId="0" borderId="80" xfId="3" applyFont="1" applyBorder="1" applyAlignment="1">
      <alignment horizontal="center" vertical="center"/>
    </xf>
    <xf numFmtId="0" fontId="5" fillId="0" borderId="81" xfId="3" applyFont="1" applyBorder="1" applyAlignment="1">
      <alignment horizontal="center" vertical="center"/>
    </xf>
    <xf numFmtId="0" fontId="9" fillId="0" borderId="71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56" xfId="3" applyFont="1" applyBorder="1" applyAlignment="1">
      <alignment vertical="center" wrapText="1"/>
    </xf>
    <xf numFmtId="0" fontId="42" fillId="0" borderId="71" xfId="3" applyFont="1" applyBorder="1" applyAlignment="1">
      <alignment horizontal="left" vertical="center" wrapText="1" indent="2"/>
    </xf>
    <xf numFmtId="0" fontId="42" fillId="0" borderId="0" xfId="3" applyFont="1" applyBorder="1" applyAlignment="1">
      <alignment horizontal="left" vertical="center" wrapText="1" indent="2"/>
    </xf>
    <xf numFmtId="0" fontId="42" fillId="0" borderId="56" xfId="3" applyFont="1" applyBorder="1" applyAlignment="1">
      <alignment horizontal="left" vertical="center" wrapText="1" indent="2"/>
    </xf>
    <xf numFmtId="0" fontId="2" fillId="0" borderId="0" xfId="0" applyFont="1" applyBorder="1" applyAlignment="1" applyProtection="1">
      <alignment horizontal="left" vertical="center"/>
      <protection hidden="1"/>
    </xf>
    <xf numFmtId="0" fontId="61" fillId="23" borderId="5" xfId="9" applyFont="1" applyFill="1" applyBorder="1" applyAlignment="1">
      <alignment horizontal="center" vertical="center"/>
    </xf>
    <xf numFmtId="0" fontId="62" fillId="23" borderId="5" xfId="9" applyFont="1" applyFill="1" applyBorder="1" applyAlignment="1">
      <alignment horizontal="center" vertical="center"/>
    </xf>
    <xf numFmtId="0" fontId="62" fillId="23" borderId="5" xfId="10" applyFont="1" applyFill="1" applyBorder="1" applyAlignment="1">
      <alignment horizontal="center" vertical="center"/>
    </xf>
  </cellXfs>
  <cellStyles count="15">
    <cellStyle name="一般" xfId="0" builtinId="0"/>
    <cellStyle name="一般 2" xfId="3" xr:uid="{B4E6F0A9-DE5F-46A6-BFC6-48BEA3C3291B}"/>
    <cellStyle name="一般 2 2" xfId="9" xr:uid="{CFFFF484-D72F-47D3-A3BB-454EE9507C35}"/>
    <cellStyle name="一般 2 2 2" xfId="12" xr:uid="{4B82B07D-1AC7-4C64-9662-DEF2E86BF11D}"/>
    <cellStyle name="一般 2 3" xfId="10" xr:uid="{55FC3FDC-3315-4CB6-9858-E544DB31974B}"/>
    <cellStyle name="一般 2 4" xfId="13" xr:uid="{82DB13CC-337B-43F7-84FB-97AA0ED250AA}"/>
    <cellStyle name="一般 3" xfId="5" xr:uid="{48A70728-526C-4E31-820C-529583132CC6}"/>
    <cellStyle name="千分位" xfId="1" builtinId="3"/>
    <cellStyle name="千分位 2" xfId="7" xr:uid="{9156BC48-E0C3-47FC-9FD7-5C6C8D3CAB0D}"/>
    <cellStyle name="千分位 3" xfId="8" xr:uid="{5FC90FD6-5DE2-4976-96AE-9AC3C0FC0B6F}"/>
    <cellStyle name="百分比" xfId="2" builtinId="5"/>
    <cellStyle name="百分比 2" xfId="4" xr:uid="{84A43305-2127-4825-B5A8-618501000A25}"/>
    <cellStyle name="百分比 2 2" xfId="11" xr:uid="{A0D50B14-8419-43C1-9031-0F6C1E37403E}"/>
    <cellStyle name="百分比 2 2 2" xfId="14" xr:uid="{9C721F0A-1B01-40F5-8093-052F39171F04}"/>
    <cellStyle name="百分比 3" xfId="6" xr:uid="{B671E0EE-082F-4A9B-85F6-86350DB72C1E}"/>
  </cellStyles>
  <dxfs count="58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0070C0"/>
        <name val="Arial"/>
        <family val="2"/>
      </font>
      <numFmt numFmtId="188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499984740745262"/>
        <name val="Arial"/>
        <family val="2"/>
        <scheme val="none"/>
      </font>
      <numFmt numFmtId="205" formatCode="General&quot;年&quot;;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5" formatCode="General&quot;年&quot;;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8" formatCode="_-* #,##0_-;\-* #,##0_-;_-* &quot;-&quot;??_-;_-@_-"/>
    </dxf>
    <dxf>
      <font>
        <color theme="1" tint="0.499984740745262"/>
        <name val="Arial"/>
        <family val="2"/>
      </font>
      <numFmt numFmtId="178" formatCode="#,##0_);[Red]\(#,##0\);"/>
      <border diagonalUp="0" diagonalDown="0">
        <left/>
        <right/>
        <top/>
        <bottom style="hair">
          <color theme="1" tint="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 tint="0.499984740745262"/>
        <name val="Arial"/>
        <family val="2"/>
        <scheme val="none"/>
      </font>
      <numFmt numFmtId="178" formatCode="#,##0_);[Red]\(#,##0\);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499984740745262"/>
        <name val="Arial"/>
        <family val="2"/>
        <scheme val="none"/>
      </font>
      <numFmt numFmtId="0" formatCode="General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 tint="0.499984740745262"/>
        <name val="Arial"/>
        <family val="2"/>
        <scheme val="none"/>
      </font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color rgb="FF0070C0"/>
        <name val="Arial"/>
        <family val="2"/>
      </font>
      <numFmt numFmtId="188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499984740745262"/>
        <name val="Arial"/>
        <family val="2"/>
        <scheme val="none"/>
      </font>
      <numFmt numFmtId="205" formatCode="General&quot;年&quot;;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5" formatCode="General&quot;年&quot;;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 outline="0">
        <left style="hair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 outline="0">
        <left style="hair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border>
        <top style="hair">
          <color theme="1" tint="0.499984740745262"/>
        </top>
      </border>
    </dxf>
    <dxf>
      <border diagonalUp="0" diagonalDown="0">
        <left/>
        <right/>
        <top/>
        <bottom/>
      </border>
    </dxf>
    <dxf>
      <border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 outline="0">
        <left style="hair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>
        <left style="hair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202" formatCode="0.0%;[Red]\(0.0%\)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Arial"/>
        <family val="2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family val="2"/>
        <scheme val="none"/>
      </font>
      <numFmt numFmtId="185" formatCode="#,##0_)&quot;萬&quot;;[Red]\(#,##0\)"/>
      <border diagonalUp="0" diagonalDown="0" outline="0">
        <left style="hair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微軟正黑體"/>
        <family val="2"/>
        <charset val="136"/>
        <scheme val="none"/>
      </font>
      <numFmt numFmtId="179" formatCode="0.0%"/>
      <border diagonalUp="0" diagonalDown="0" outline="0">
        <left/>
        <right/>
        <top style="hair">
          <color theme="1" tint="0.499984740745262"/>
        </top>
        <bottom style="hair">
          <color theme="1" tint="0.499984740745262"/>
        </bottom>
      </border>
    </dxf>
    <dxf>
      <fill>
        <patternFill patternType="solid">
          <fgColor indexed="64"/>
          <bgColor rgb="FF003399"/>
        </patternFill>
      </fill>
    </dxf>
  </dxfs>
  <tableStyles count="0" defaultTableStyle="TableStyleMedium2" defaultPivotStyle="PivotStyleLight16"/>
  <colors>
    <mruColors>
      <color rgb="FF0000FF"/>
      <color rgb="FF003399"/>
      <color rgb="FFD9E6FF"/>
      <color rgb="FFD1E0FF"/>
      <color rgb="FFBA7500"/>
      <color rgb="FFFFFFCC"/>
      <color rgb="FFCBD300"/>
      <color rgb="FFE59200"/>
      <color rgb="FF99042E"/>
      <color rgb="FF447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38795878670504E-2"/>
          <c:y val="6.8110767088330193E-2"/>
          <c:w val="0.835728664984838"/>
          <c:h val="0.86938945381670885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3399"/>
            </a:solidFill>
          </c:spPr>
          <c:explosion val="1"/>
          <c:dPt>
            <c:idx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D4-4471-82DD-E0A6D3B29200}"/>
              </c:ext>
            </c:extLst>
          </c:dPt>
          <c:dPt>
            <c:idx val="1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D4-4471-82DD-E0A6D3B29200}"/>
              </c:ext>
            </c:extLst>
          </c:dPt>
          <c:dPt>
            <c:idx val="1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D4-4471-82DD-E0A6D3B29200}"/>
              </c:ext>
            </c:extLst>
          </c:dPt>
          <c:dPt>
            <c:idx val="1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D4-4471-82DD-E0A6D3B29200}"/>
              </c:ext>
            </c:extLst>
          </c:dPt>
          <c:dPt>
            <c:idx val="1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D4-4471-82DD-E0A6D3B29200}"/>
              </c:ext>
            </c:extLst>
          </c:dPt>
          <c:dPt>
            <c:idx val="1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D4-4471-82DD-E0A6D3B29200}"/>
              </c:ext>
            </c:extLst>
          </c:dPt>
          <c:dPt>
            <c:idx val="1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D4-4471-82DD-E0A6D3B29200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D4-4471-82DD-E0A6D3B29200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D4-4471-82DD-E0A6D3B29200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'3.財務比例'!$A$24</c:f>
              <c:strCache>
                <c:ptCount val="1"/>
                <c:pt idx="0">
                  <c:v>保費負擔率</c:v>
                </c:pt>
              </c:strCache>
            </c:strRef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BD4-4471-82DD-E0A6D3B2920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D4-4471-82DD-E0A6D3B29200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D4-4471-82DD-E0A6D3B29200}"/>
              </c:ext>
            </c:extLst>
          </c:dPt>
          <c:val>
            <c:numRef>
              <c:f>'3.財務比例'!$B$24:$B$26</c:f>
              <c:numCache>
                <c:formatCode>0%</c:formatCode>
                <c:ptCount val="3"/>
                <c:pt idx="0" formatCode="0.0%">
                  <c:v>6.3291139240506333E-2</c:v>
                </c:pt>
                <c:pt idx="1">
                  <c:v>0.43670886075949367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D4-4471-82DD-E0A6D3B2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83785643299436E-2"/>
          <c:y val="6.172086792706246E-2"/>
          <c:w val="0.842619915229043"/>
          <c:h val="0.87655826414587512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3399"/>
            </a:solidFill>
          </c:spPr>
          <c:dPt>
            <c:idx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D47-486B-B832-4CC3D1E31A4D}"/>
              </c:ext>
            </c:extLst>
          </c:dPt>
          <c:dPt>
            <c:idx val="1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D47-486B-B832-4CC3D1E31A4D}"/>
              </c:ext>
            </c:extLst>
          </c:dPt>
          <c:dPt>
            <c:idx val="1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D47-486B-B832-4CC3D1E31A4D}"/>
              </c:ext>
            </c:extLst>
          </c:dPt>
          <c:dPt>
            <c:idx val="1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D47-486B-B832-4CC3D1E31A4D}"/>
              </c:ext>
            </c:extLst>
          </c:dPt>
          <c:dPt>
            <c:idx val="1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D47-486B-B832-4CC3D1E31A4D}"/>
              </c:ext>
            </c:extLst>
          </c:dPt>
          <c:dPt>
            <c:idx val="1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D47-486B-B832-4CC3D1E31A4D}"/>
              </c:ext>
            </c:extLst>
          </c:dPt>
          <c:dPt>
            <c:idx val="1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D47-486B-B832-4CC3D1E31A4D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D47-486B-B832-4CC3D1E31A4D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D47-486B-B832-4CC3D1E31A4D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'3.財務比例'!$E$5</c:f>
              <c:strCache>
                <c:ptCount val="1"/>
                <c:pt idx="0">
                  <c:v>資產負債率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D47-486B-B832-4CC3D1E31A4D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D47-486B-B832-4CC3D1E31A4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D47-486B-B832-4CC3D1E31A4D}"/>
              </c:ext>
            </c:extLst>
          </c:dPt>
          <c:val>
            <c:numRef>
              <c:f>'3.財務比例'!$F$5:$F$7</c:f>
              <c:numCache>
                <c:formatCode>0%</c:formatCode>
                <c:ptCount val="3"/>
                <c:pt idx="0">
                  <c:v>0.38576094056172439</c:v>
                </c:pt>
                <c:pt idx="1">
                  <c:v>0.61423905943827561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4A-462C-8580-8DBCDDA7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38795878670504E-2"/>
          <c:y val="6.8110767088330193E-2"/>
          <c:w val="0.835728664984838"/>
          <c:h val="0.86938945381670885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3399"/>
            </a:solidFill>
          </c:spPr>
          <c:explosion val="1"/>
          <c:dPt>
            <c:idx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D4-4471-82DD-E0A6D3B29200}"/>
              </c:ext>
            </c:extLst>
          </c:dPt>
          <c:dPt>
            <c:idx val="1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D4-4471-82DD-E0A6D3B29200}"/>
              </c:ext>
            </c:extLst>
          </c:dPt>
          <c:dPt>
            <c:idx val="1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D4-4471-82DD-E0A6D3B29200}"/>
              </c:ext>
            </c:extLst>
          </c:dPt>
          <c:dPt>
            <c:idx val="1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D4-4471-82DD-E0A6D3B29200}"/>
              </c:ext>
            </c:extLst>
          </c:dPt>
          <c:dPt>
            <c:idx val="1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D4-4471-82DD-E0A6D3B29200}"/>
              </c:ext>
            </c:extLst>
          </c:dPt>
          <c:dPt>
            <c:idx val="1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D4-4471-82DD-E0A6D3B29200}"/>
              </c:ext>
            </c:extLst>
          </c:dPt>
          <c:dPt>
            <c:idx val="1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D4-4471-82DD-E0A6D3B29200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D4-4471-82DD-E0A6D3B29200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D4-4471-82DD-E0A6D3B29200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'3.財務比例'!$A$5</c:f>
              <c:strCache>
                <c:ptCount val="1"/>
                <c:pt idx="0">
                  <c:v>儲蓄率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BD4-4471-82DD-E0A6D3B2920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D4-4471-82DD-E0A6D3B29200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D4-4471-82DD-E0A6D3B29200}"/>
              </c:ext>
            </c:extLst>
          </c:dPt>
          <c:val>
            <c:numRef>
              <c:f>'3.財務比例'!$B$5:$B$7</c:f>
              <c:numCache>
                <c:formatCode>0%</c:formatCode>
                <c:ptCount val="3"/>
                <c:pt idx="0">
                  <c:v>0.23483544303797468</c:v>
                </c:pt>
                <c:pt idx="1">
                  <c:v>0.76516455696202534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D4-4471-82DD-E0A6D3B2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83785643299436E-2"/>
          <c:y val="6.172086792706246E-2"/>
          <c:w val="0.842619915229043"/>
          <c:h val="0.87655826414587512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3DC-45A3-AC5E-5D2878FBE898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3DC-45A3-AC5E-5D2878FBE898}"/>
              </c:ext>
            </c:extLst>
          </c:dPt>
          <c:dPt>
            <c:idx val="1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3DC-45A3-AC5E-5D2878FBE898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3DC-45A3-AC5E-5D2878FBE898}"/>
              </c:ext>
            </c:extLst>
          </c:dPt>
          <c:dPt>
            <c:idx val="1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3DC-45A3-AC5E-5D2878FBE898}"/>
              </c:ext>
            </c:extLst>
          </c:dPt>
          <c:dPt>
            <c:idx val="1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3DC-45A3-AC5E-5D2878FBE898}"/>
              </c:ext>
            </c:extLst>
          </c:dPt>
          <c:dPt>
            <c:idx val="17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3DC-45A3-AC5E-5D2878FBE898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3DC-45A3-AC5E-5D2878FBE898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3DC-45A3-AC5E-5D2878FBE898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'3.財務比例'!$A$14</c:f>
              <c:strCache>
                <c:ptCount val="1"/>
                <c:pt idx="0">
                  <c:v>緊急預備金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3DC-45A3-AC5E-5D2878FBE898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3DC-45A3-AC5E-5D2878FBE89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3DC-45A3-AC5E-5D2878FBE898}"/>
              </c:ext>
            </c:extLst>
          </c:dPt>
          <c:val>
            <c:numRef>
              <c:f>'3.財務比例'!$B$14:$B$16</c:f>
              <c:numCache>
                <c:formatCode>0</c:formatCode>
                <c:ptCount val="3"/>
                <c:pt idx="0">
                  <c:v>43.362425355994489</c:v>
                </c:pt>
                <c:pt idx="1">
                  <c:v>16.637574644005511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4A-462C-8580-8DBCDDA7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83785643299436E-2"/>
          <c:y val="6.172086792706246E-2"/>
          <c:w val="0.842619915229043"/>
          <c:h val="0.87655826414587512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3DC-45A3-AC5E-5D2878FBE898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3DC-45A3-AC5E-5D2878FBE898}"/>
              </c:ext>
            </c:extLst>
          </c:dPt>
          <c:dPt>
            <c:idx val="1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3DC-45A3-AC5E-5D2878FBE898}"/>
              </c:ext>
            </c:extLst>
          </c:dPt>
          <c:dPt>
            <c:idx val="1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3DC-45A3-AC5E-5D2878FBE898}"/>
              </c:ext>
            </c:extLst>
          </c:dPt>
          <c:dPt>
            <c:idx val="1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3DC-45A3-AC5E-5D2878FBE898}"/>
              </c:ext>
            </c:extLst>
          </c:dPt>
          <c:dPt>
            <c:idx val="1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3DC-45A3-AC5E-5D2878FBE898}"/>
              </c:ext>
            </c:extLst>
          </c:dPt>
          <c:dPt>
            <c:idx val="17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3DC-45A3-AC5E-5D2878FBE898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3DC-45A3-AC5E-5D2878FBE898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3DC-45A3-AC5E-5D2878FBE898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'3.財務比例'!$E$14</c:f>
              <c:strCache>
                <c:ptCount val="1"/>
                <c:pt idx="0">
                  <c:v>短期償債能力</c:v>
                </c:pt>
              </c:strCache>
            </c:strRef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3DC-45A3-AC5E-5D2878FBE898}"/>
              </c:ext>
            </c:extLst>
          </c:dPt>
          <c:dPt>
            <c:idx val="1"/>
            <c:bubble3D val="0"/>
            <c:spPr>
              <a:solidFill>
                <a:schemeClr val="bg1">
                  <a:alpha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3DC-45A3-AC5E-5D2878FBE898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3DC-45A3-AC5E-5D2878FBE898}"/>
              </c:ext>
            </c:extLst>
          </c:dPt>
          <c:val>
            <c:numRef>
              <c:f>'3.財務比例'!$F$14:$F$16</c:f>
              <c:numCache>
                <c:formatCode>0%</c:formatCode>
                <c:ptCount val="3"/>
                <c:pt idx="0">
                  <c:v>3.0320150659133711</c:v>
                </c:pt>
                <c:pt idx="1">
                  <c:v>6.9679849340866289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4A-462C-8580-8DBCDDA7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4505262084958E-2"/>
          <c:y val="9.6165707055176797E-2"/>
          <c:w val="0.85730363801612175"/>
          <c:h val="0.89183340579018611"/>
        </c:manualLayout>
      </c:layout>
      <c:doughnutChart>
        <c:varyColors val="1"/>
        <c:ser>
          <c:idx val="0"/>
          <c:order val="0"/>
          <c:tx>
            <c:v>錶面</c:v>
          </c:tx>
          <c:spPr>
            <a:solidFill>
              <a:srgbClr val="003399"/>
            </a:solidFill>
          </c:spPr>
          <c:explosion val="1"/>
          <c:dPt>
            <c:idx val="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E-4246-B99C-ED3D71023345}"/>
              </c:ext>
            </c:extLst>
          </c:dPt>
          <c:dPt>
            <c:idx val="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E-4246-B99C-ED3D71023345}"/>
              </c:ext>
            </c:extLst>
          </c:dPt>
          <c:dPt>
            <c:idx val="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E-4246-B99C-ED3D71023345}"/>
              </c:ext>
            </c:extLst>
          </c:dPt>
          <c:dPt>
            <c:idx val="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E-4246-B99C-ED3D71023345}"/>
              </c:ext>
            </c:extLst>
          </c:dPt>
          <c:dPt>
            <c:idx val="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3E-4246-B99C-ED3D71023345}"/>
              </c:ext>
            </c:extLst>
          </c:dPt>
          <c:dPt>
            <c:idx val="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3E-4246-B99C-ED3D71023345}"/>
              </c:ext>
            </c:extLst>
          </c:dPt>
          <c:dPt>
            <c:idx val="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3E-4246-B99C-ED3D71023345}"/>
              </c:ext>
            </c:extLst>
          </c:dPt>
          <c:dPt>
            <c:idx val="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3E-4246-B99C-ED3D71023345}"/>
              </c:ext>
            </c:extLst>
          </c:dPt>
          <c:dPt>
            <c:idx val="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3E-4246-B99C-ED3D71023345}"/>
              </c:ext>
            </c:extLst>
          </c:dPt>
          <c:dPt>
            <c:idx val="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3E-4246-B99C-ED3D71023345}"/>
              </c:ext>
            </c:extLst>
          </c:dPt>
          <c:dPt>
            <c:idx val="10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803-4ADC-9690-629EF6949146}"/>
              </c:ext>
            </c:extLst>
          </c:dPt>
          <c:dPt>
            <c:idx val="11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BD4-4471-82DD-E0A6D3B29200}"/>
              </c:ext>
            </c:extLst>
          </c:dPt>
          <c:dPt>
            <c:idx val="12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BD4-4471-82DD-E0A6D3B29200}"/>
              </c:ext>
            </c:extLst>
          </c:dPt>
          <c:dPt>
            <c:idx val="13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BD4-4471-82DD-E0A6D3B29200}"/>
              </c:ext>
            </c:extLst>
          </c:dPt>
          <c:dPt>
            <c:idx val="14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BD4-4471-82DD-E0A6D3B29200}"/>
              </c:ext>
            </c:extLst>
          </c:dPt>
          <c:dPt>
            <c:idx val="15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BD4-4471-82DD-E0A6D3B29200}"/>
              </c:ext>
            </c:extLst>
          </c:dPt>
          <c:dPt>
            <c:idx val="16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BD4-4471-82DD-E0A6D3B29200}"/>
              </c:ext>
            </c:extLst>
          </c:dPt>
          <c:dPt>
            <c:idx val="17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BD4-4471-82DD-E0A6D3B29200}"/>
              </c:ext>
            </c:extLst>
          </c:dPt>
          <c:dPt>
            <c:idx val="18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BD4-4471-82DD-E0A6D3B29200}"/>
              </c:ext>
            </c:extLst>
          </c:dPt>
          <c:dPt>
            <c:idx val="19"/>
            <c:bubble3D val="0"/>
            <c:spPr>
              <a:solidFill>
                <a:srgbClr val="00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BD4-4471-82DD-E0A6D3B29200}"/>
              </c:ext>
            </c:extLst>
          </c:dPt>
          <c:dPt>
            <c:idx val="2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4A-462C-8580-8DBCDDA7FDA4}"/>
              </c:ext>
            </c:extLst>
          </c:dPt>
          <c:val>
            <c:numLit>
              <c:formatCode>General</c:formatCode>
              <c:ptCount val="2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803-4ADC-9690-629EF694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0"/>
      </c:doughnutChart>
      <c:pieChart>
        <c:varyColors val="1"/>
        <c:ser>
          <c:idx val="1"/>
          <c:order val="1"/>
          <c:tx>
            <c:strRef>
              <c:f>'3.財務比例'!$A$5</c:f>
              <c:strCache>
                <c:ptCount val="1"/>
                <c:pt idx="0">
                  <c:v>儲蓄率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BD4-4471-82DD-E0A6D3B2920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D4-4471-82DD-E0A6D3B29200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D4-4471-82DD-E0A6D3B29200}"/>
              </c:ext>
            </c:extLst>
          </c:dPt>
          <c:val>
            <c:numRef>
              <c:f>'3.財務比例'!$B$5:$B$7</c:f>
              <c:numCache>
                <c:formatCode>0%</c:formatCode>
                <c:ptCount val="3"/>
                <c:pt idx="0">
                  <c:v>0.23483544303797468</c:v>
                </c:pt>
                <c:pt idx="1">
                  <c:v>0.76516455696202534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BD4-4471-82DD-E0A6D3B29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底圖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A30F760-86DE-4441-B4C1-57BD9273BE87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CFE-47C7-A2D6-274A15A6D0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FBD242-8533-4C1A-AA01-0A560E743557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CFE-47C7-A2D6-274A15A6D0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91A366-0B23-4DE6-B85B-CB70EBE777DF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CFE-47C7-A2D6-274A15A6D0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A597CE-2C94-4A46-9EC1-9B0438C0018F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CFE-47C7-A2D6-274A15A6D0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51C23C2-C42B-47C9-8EE6-810805F5EB47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CFE-47C7-A2D6-274A15A6D0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8A5FD6B-711E-42BC-9F9D-39C60BC569E3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CFE-47C7-A2D6-274A15A6D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3333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'4.理財目標'!$A$4:$A$9</c:f>
              <c:strCache>
                <c:ptCount val="6"/>
                <c:pt idx="0">
                  <c:v>子女教育金</c:v>
                </c:pt>
                <c:pt idx="1">
                  <c:v>購車</c:v>
                </c:pt>
                <c:pt idx="2">
                  <c:v>購／換屋頭期款</c:v>
                </c:pt>
                <c:pt idx="3">
                  <c:v>退休金</c:v>
                </c:pt>
                <c:pt idx="4">
                  <c:v>創業基金</c:v>
                </c:pt>
                <c:pt idx="5">
                  <c:v>醫療基金</c:v>
                </c:pt>
              </c:strCache>
            </c:strRef>
          </c:cat>
          <c:val>
            <c:numRef>
              <c:f>'4.理財目標'!$H$17:$H$22</c:f>
              <c:numCache>
                <c:formatCode>General"歲"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'4.理財目標'!$B$4:$B$9</c15:f>
                <c15:dlblRangeCache>
                  <c:ptCount val="6"/>
                  <c:pt idx="0">
                    <c:v>100 萬</c:v>
                  </c:pt>
                  <c:pt idx="1">
                    <c:v>150 萬</c:v>
                  </c:pt>
                  <c:pt idx="2">
                    <c:v>500 萬</c:v>
                  </c:pt>
                  <c:pt idx="3">
                    <c:v>1,200 萬</c:v>
                  </c:pt>
                  <c:pt idx="4">
                    <c:v>100 萬</c:v>
                  </c:pt>
                  <c:pt idx="5">
                    <c:v>300 萬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BD5-4BC8-9B2D-B2116B139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09779055"/>
        <c:axId val="1709777807"/>
      </c:barChart>
      <c:scatterChart>
        <c:scatterStyle val="lineMarker"/>
        <c:varyColors val="0"/>
        <c:ser>
          <c:idx val="1"/>
          <c:order val="1"/>
          <c:tx>
            <c:strRef>
              <c:f>'4.理財目標'!$E$3</c:f>
              <c:strCache>
                <c:ptCount val="1"/>
                <c:pt idx="0">
                  <c:v>開始準備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3"/>
            <c:spPr>
              <a:solidFill>
                <a:srgbClr val="00B0F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numFmt formatCode="General&quot;歲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'4.理財目標'!$E$4:$E$9</c:f>
              <c:numCache>
                <c:formatCode>General"歲"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xVal>
          <c:yVal>
            <c:numRef>
              <c:f>'4.理財目標'!$I$17:$I$22</c:f>
              <c:numCache>
                <c:formatCode>General</c:formatCode>
                <c:ptCount val="6"/>
                <c:pt idx="0">
                  <c:v>2.4</c:v>
                </c:pt>
                <c:pt idx="1">
                  <c:v>7.4</c:v>
                </c:pt>
                <c:pt idx="2">
                  <c:v>12.4</c:v>
                </c:pt>
                <c:pt idx="3">
                  <c:v>17.399999999999999</c:v>
                </c:pt>
                <c:pt idx="4">
                  <c:v>22.4</c:v>
                </c:pt>
                <c:pt idx="5">
                  <c:v>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81-4742-95B8-6FE4E67A998E}"/>
            </c:ext>
          </c:extLst>
        </c:ser>
        <c:ser>
          <c:idx val="2"/>
          <c:order val="2"/>
          <c:tx>
            <c:strRef>
              <c:f>'4.理財目標'!$C$3</c:f>
              <c:strCache>
                <c:ptCount val="1"/>
                <c:pt idx="0">
                  <c:v>實現年齡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23"/>
            <c:spPr>
              <a:solidFill>
                <a:srgbClr val="003399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'4.理財目標'!$F$4:$F$9</c:f>
                <c:numCache>
                  <c:formatCode>General</c:formatCode>
                  <c:ptCount val="6"/>
                  <c:pt idx="0">
                    <c:v>5</c:v>
                  </c:pt>
                  <c:pt idx="1">
                    <c:v>5</c:v>
                  </c:pt>
                  <c:pt idx="2">
                    <c:v>5</c:v>
                  </c:pt>
                  <c:pt idx="3">
                    <c:v>15</c:v>
                  </c:pt>
                  <c:pt idx="4">
                    <c:v>5</c:v>
                  </c:pt>
                  <c:pt idx="5">
                    <c:v>20</c:v>
                  </c:pt>
                </c:numCache>
              </c:numRef>
            </c:minus>
            <c:spPr>
              <a:ln w="241300">
                <a:solidFill>
                  <a:srgbClr val="65BDFF"/>
                </a:solidFill>
              </a:ln>
            </c:spPr>
          </c:errBars>
          <c:xVal>
            <c:numRef>
              <c:f>'4.理財目標'!$C$4:$C$9</c:f>
              <c:numCache>
                <c:formatCode>General"歲"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40</c:v>
                </c:pt>
                <c:pt idx="3">
                  <c:v>55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'4.理財目標'!$I$17:$I$22</c:f>
              <c:numCache>
                <c:formatCode>General</c:formatCode>
                <c:ptCount val="6"/>
                <c:pt idx="0">
                  <c:v>2.4</c:v>
                </c:pt>
                <c:pt idx="1">
                  <c:v>7.4</c:v>
                </c:pt>
                <c:pt idx="2">
                  <c:v>12.4</c:v>
                </c:pt>
                <c:pt idx="3">
                  <c:v>17.399999999999999</c:v>
                </c:pt>
                <c:pt idx="4">
                  <c:v>22.4</c:v>
                </c:pt>
                <c:pt idx="5">
                  <c:v>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81-4742-95B8-6FE4E67A998E}"/>
            </c:ext>
          </c:extLst>
        </c:ser>
        <c:ser>
          <c:idx val="3"/>
          <c:order val="3"/>
          <c:tx>
            <c:strRef>
              <c:f>'4.理財目標'!$D$3</c:f>
              <c:strCache>
                <c:ptCount val="1"/>
                <c:pt idx="0">
                  <c:v>可接受年齡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5"/>
            <c:spPr>
              <a:solidFill>
                <a:srgbClr val="FF7C8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'4.理財目標'!$D$4:$D$9</c:f>
              <c:numCache>
                <c:formatCode>General"歲"</c:formatCode>
                <c:ptCount val="6"/>
                <c:pt idx="0">
                  <c:v>37</c:v>
                </c:pt>
                <c:pt idx="1">
                  <c:v>40</c:v>
                </c:pt>
                <c:pt idx="2">
                  <c:v>45</c:v>
                </c:pt>
                <c:pt idx="3">
                  <c:v>65</c:v>
                </c:pt>
                <c:pt idx="4">
                  <c:v>50</c:v>
                </c:pt>
                <c:pt idx="5">
                  <c:v>65</c:v>
                </c:pt>
              </c:numCache>
            </c:numRef>
          </c:xVal>
          <c:yVal>
            <c:numRef>
              <c:f>'4.理財目標'!$I$17:$I$22</c:f>
              <c:numCache>
                <c:formatCode>General</c:formatCode>
                <c:ptCount val="6"/>
                <c:pt idx="0">
                  <c:v>2.4</c:v>
                </c:pt>
                <c:pt idx="1">
                  <c:v>7.4</c:v>
                </c:pt>
                <c:pt idx="2">
                  <c:v>12.4</c:v>
                </c:pt>
                <c:pt idx="3">
                  <c:v>17.399999999999999</c:v>
                </c:pt>
                <c:pt idx="4">
                  <c:v>22.4</c:v>
                </c:pt>
                <c:pt idx="5">
                  <c:v>27.4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81-4742-95B8-6FE4E67A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896976"/>
        <c:axId val="1700917776"/>
      </c:scatterChart>
      <c:catAx>
        <c:axId val="17097790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709777807"/>
        <c:crosses val="autoZero"/>
        <c:auto val="1"/>
        <c:lblAlgn val="ctr"/>
        <c:lblOffset val="100"/>
        <c:noMultiLvlLbl val="0"/>
      </c:catAx>
      <c:valAx>
        <c:axId val="1709777807"/>
        <c:scaling>
          <c:orientation val="minMax"/>
          <c:max val="71"/>
          <c:min val="20"/>
        </c:scaling>
        <c:delete val="0"/>
        <c:axPos val="b"/>
        <c:numFmt formatCode="General&quot;歲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微軟正黑體" panose="020B0604030504040204" pitchFamily="34" charset="-120"/>
                <a:cs typeface="Arial" panose="020B0604020202020204" pitchFamily="34" charset="0"/>
              </a:defRPr>
            </a:pPr>
            <a:endParaRPr lang="zh-TW"/>
          </a:p>
        </c:txPr>
        <c:crossAx val="1709779055"/>
        <c:crosses val="autoZero"/>
        <c:crossBetween val="between"/>
      </c:valAx>
      <c:valAx>
        <c:axId val="1700917776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700896976"/>
        <c:crosses val="max"/>
        <c:crossBetween val="midCat"/>
      </c:valAx>
      <c:valAx>
        <c:axId val="1700896976"/>
        <c:scaling>
          <c:orientation val="minMax"/>
        </c:scaling>
        <c:delete val="1"/>
        <c:axPos val="b"/>
        <c:numFmt formatCode="General&quot;歲&quot;" sourceLinked="1"/>
        <c:majorTickMark val="out"/>
        <c:minorTickMark val="none"/>
        <c:tickLblPos val="nextTo"/>
        <c:crossAx val="170091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39370078740157483" l="0.39370078740157483" r="0.39370078740157483" t="0.59055118110236227" header="0.39370078740157483" footer="0.3937007874015748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本人風險規劃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3399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'5.保險需求分析'!$E$15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'5.保險需求分析'!$D$16:$D$19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'5.保險需求分析'!$E$16:$E$19</c:f>
              <c:numCache>
                <c:formatCode>#,##0_)"萬";[Red]\(#,##0\)"萬"</c:formatCode>
                <c:ptCount val="4"/>
                <c:pt idx="0">
                  <c:v>550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2-436A-A4C0-3ED4A7A3ABA7}"/>
            </c:ext>
          </c:extLst>
        </c:ser>
        <c:ser>
          <c:idx val="1"/>
          <c:order val="1"/>
          <c:tx>
            <c:strRef>
              <c:f>'5.保險需求分析'!$F$15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270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'5.保險需求分析'!$D$16:$D$19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'5.保險需求分析'!$F$16:$F$19</c:f>
              <c:numCache>
                <c:formatCode>#,##0_)"萬";[Red]\(#,##0\)"萬"</c:formatCode>
                <c:ptCount val="4"/>
                <c:pt idx="0">
                  <c:v>1442.1862019737828</c:v>
                </c:pt>
                <c:pt idx="1">
                  <c:v>400</c:v>
                </c:pt>
                <c:pt idx="2">
                  <c:v>450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2-436A-A4C0-3ED4A7A3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6043743"/>
        <c:axId val="1936053311"/>
      </c:barChart>
      <c:catAx>
        <c:axId val="19360437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36053311"/>
        <c:crosses val="autoZero"/>
        <c:auto val="1"/>
        <c:lblAlgn val="ctr"/>
        <c:lblOffset val="100"/>
        <c:noMultiLvlLbl val="0"/>
      </c:catAx>
      <c:valAx>
        <c:axId val="1936053311"/>
        <c:scaling>
          <c:orientation val="minMax"/>
        </c:scaling>
        <c:delete val="1"/>
        <c:axPos val="t"/>
        <c:numFmt formatCode="#,##0_)&quot;萬&quot;;[Red]\(#,##0\)&quot;萬&quot;" sourceLinked="1"/>
        <c:majorTickMark val="none"/>
        <c:minorTickMark val="none"/>
        <c:tickLblPos val="nextTo"/>
        <c:crossAx val="19360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微軟正黑體" panose="020B0604030504040204" pitchFamily="34" charset="-120"/>
              <a:cs typeface="Arial" panose="020B0604020202020204" pitchFamily="34" charset="0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配偶風險規劃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3399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'5.保險需求分析'!$E$56:$E$59</c:f>
              <c:numCache>
                <c:formatCode>#,##0_)"萬";[Red]\(#,##0\)"萬"</c:formatCode>
                <c:ptCount val="4"/>
                <c:pt idx="0">
                  <c:v>750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2-436A-A4C0-3ED4A7A3ABA7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270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'5.保險需求分析'!$F$56:$F$59</c:f>
              <c:numCache>
                <c:formatCode>#,##0_)"萬";[Red]\(#,##0\)"萬"</c:formatCode>
                <c:ptCount val="4"/>
                <c:pt idx="0">
                  <c:v>1442.1862019737828</c:v>
                </c:pt>
                <c:pt idx="1">
                  <c:v>400</c:v>
                </c:pt>
                <c:pt idx="2">
                  <c:v>450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2-436A-A4C0-3ED4A7A3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6043743"/>
        <c:axId val="1936053311"/>
      </c:barChart>
      <c:catAx>
        <c:axId val="19360437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36053311"/>
        <c:crosses val="autoZero"/>
        <c:auto val="1"/>
        <c:lblAlgn val="ctr"/>
        <c:lblOffset val="100"/>
        <c:noMultiLvlLbl val="0"/>
      </c:catAx>
      <c:valAx>
        <c:axId val="1936053311"/>
        <c:scaling>
          <c:orientation val="minMax"/>
        </c:scaling>
        <c:delete val="1"/>
        <c:axPos val="t"/>
        <c:numFmt formatCode="#,##0_)&quot;萬&quot;;[Red]\(#,##0\)&quot;萬&quot;" sourceLinked="1"/>
        <c:majorTickMark val="none"/>
        <c:minorTickMark val="none"/>
        <c:tickLblPos val="nextTo"/>
        <c:crossAx val="19360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微軟正黑體" panose="020B0604030504040204" pitchFamily="34" charset="-120"/>
              <a:cs typeface="Arial" panose="020B0604020202020204" pitchFamily="34" charset="0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'5.保險需求分析'!$E$15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'5.保險需求分析'!$D$21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'5.保險需求分析'!$E$21</c:f>
              <c:numCache>
                <c:formatCode>#,##0.00_)"萬";[Red]\(#,##0.00\)"萬"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C-43A1-BD18-CDC3588DFEE9}"/>
            </c:ext>
          </c:extLst>
        </c:ser>
        <c:ser>
          <c:idx val="1"/>
          <c:order val="1"/>
          <c:tx>
            <c:strRef>
              <c:f>'5.保險需求分析'!$F$15</c:f>
              <c:strCache>
                <c:ptCount val="1"/>
                <c:pt idx="0">
                  <c:v>應備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rgbClr val="71DAFF"/>
              </a:solidFill>
              <a:prstDash val="sysDash"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71DAFF"/>
                </a:solidFill>
                <a:prstDash val="sys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0C-43A1-BD18-CDC3588DFEE9}"/>
              </c:ext>
            </c:extLst>
          </c:dPt>
          <c:dLbls>
            <c:dLbl>
              <c:idx val="0"/>
              <c:numFmt formatCode="#,##0.00_)&quot;萬&quot;;[Red]\(#,##0.00\)&quot;萬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3399"/>
                      </a:solidFill>
                      <a:latin typeface="Arial" panose="020B0604020202020204" pitchFamily="34" charset="0"/>
                      <a:ea typeface="微軟正黑體" panose="020B0604030504040204" pitchFamily="34" charset="-120"/>
                      <a:cs typeface="Arial" panose="020B0604020202020204" pitchFamily="34" charset="0"/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0C-43A1-BD18-CDC3588DFEE9}"/>
                </c:ext>
              </c:extLst>
            </c:dLbl>
            <c:numFmt formatCode="#,##0.00_)&quot;萬&quot;;[Red]\(#,##0.00\)&quot;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'5.保險需求分析'!$D$21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'5.保險需求分析'!$F$21</c:f>
              <c:numCache>
                <c:formatCode>#,##0.00_)"萬";[Red]\(#,##0.00\)"萬"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C-43A1-BD18-CDC3588DF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4259119"/>
        <c:axId val="504259535"/>
      </c:barChart>
      <c:catAx>
        <c:axId val="50425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04259535"/>
        <c:crosses val="autoZero"/>
        <c:auto val="1"/>
        <c:lblAlgn val="ctr"/>
        <c:lblOffset val="100"/>
        <c:noMultiLvlLbl val="0"/>
      </c:catAx>
      <c:valAx>
        <c:axId val="504259535"/>
        <c:scaling>
          <c:orientation val="minMax"/>
        </c:scaling>
        <c:delete val="1"/>
        <c:axPos val="b"/>
        <c:numFmt formatCode="#,##0.00_)&quot;萬&quot;;[Red]\(#,##0.00\)&quot;萬&quot;" sourceLinked="1"/>
        <c:majorTickMark val="none"/>
        <c:minorTickMark val="none"/>
        <c:tickLblPos val="nextTo"/>
        <c:crossAx val="5042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003399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'5.保險需求分析'!$E$61</c:f>
              <c:numCache>
                <c:formatCode>#,##0.00_)"萬";[Red]\(#,##0.00\)"萬"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C-43A1-BD18-CDC3588DFEE9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905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numFmt formatCode="#,##0.00_)&quot;萬&quot;;[Red]\(#,##0.00\)&quot;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'5.保險需求分析'!$F$61</c:f>
              <c:numCache>
                <c:formatCode>#,##0.00_)"萬";[Red]\(#,##0.00\)"萬"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C-43A1-BD18-CDC3588DF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4259119"/>
        <c:axId val="504259535"/>
      </c:barChart>
      <c:catAx>
        <c:axId val="50425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04259535"/>
        <c:crosses val="autoZero"/>
        <c:auto val="1"/>
        <c:lblAlgn val="ctr"/>
        <c:lblOffset val="100"/>
        <c:noMultiLvlLbl val="0"/>
      </c:catAx>
      <c:valAx>
        <c:axId val="504259535"/>
        <c:scaling>
          <c:orientation val="minMax"/>
        </c:scaling>
        <c:delete val="1"/>
        <c:axPos val="b"/>
        <c:numFmt formatCode="#,##0.00_)&quot;萬&quot;;[Red]\(#,##0.00\)&quot;萬&quot;" sourceLinked="1"/>
        <c:majorTickMark val="none"/>
        <c:minorTickMark val="none"/>
        <c:tickLblPos val="nextTo"/>
        <c:crossAx val="5042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003399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配偶風險規劃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3399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'5.保險需求分析'!$E$56:$E$59</c:f>
              <c:numCache>
                <c:formatCode>#,##0_)"萬";[Red]\(#,##0\)"萬"</c:formatCode>
                <c:ptCount val="4"/>
                <c:pt idx="0">
                  <c:v>750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D-4BEA-8DC5-EA28C4BA9944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270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'5.保險需求分析'!$F$56:$F$59</c:f>
              <c:numCache>
                <c:formatCode>#,##0_)"萬";[Red]\(#,##0\)"萬"</c:formatCode>
                <c:ptCount val="4"/>
                <c:pt idx="0">
                  <c:v>1442.1862019737828</c:v>
                </c:pt>
                <c:pt idx="1">
                  <c:v>400</c:v>
                </c:pt>
                <c:pt idx="2">
                  <c:v>450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D-4BEA-8DC5-EA28C4BA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6043743"/>
        <c:axId val="1936053311"/>
      </c:barChart>
      <c:catAx>
        <c:axId val="19360437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36053311"/>
        <c:crosses val="autoZero"/>
        <c:auto val="1"/>
        <c:lblAlgn val="ctr"/>
        <c:lblOffset val="100"/>
        <c:noMultiLvlLbl val="0"/>
      </c:catAx>
      <c:valAx>
        <c:axId val="1936053311"/>
        <c:scaling>
          <c:orientation val="minMax"/>
        </c:scaling>
        <c:delete val="1"/>
        <c:axPos val="t"/>
        <c:numFmt formatCode="#,##0_)&quot;萬&quot;;[Red]\(#,##0\)&quot;萬&quot;" sourceLinked="1"/>
        <c:majorTickMark val="none"/>
        <c:minorTickMark val="none"/>
        <c:tickLblPos val="nextTo"/>
        <c:crossAx val="19360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微軟正黑體" panose="020B0604030504040204" pitchFamily="34" charset="-120"/>
              <a:cs typeface="Arial" panose="020B0604020202020204" pitchFamily="34" charset="0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'5.保險需求分析'!$E$61</c:f>
              <c:numCache>
                <c:formatCode>#,##0.00_)"萬";[Red]\(#,##0.00\)"萬"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3-4B9D-9C31-BB8C31FC8A0C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905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numFmt formatCode="#,##0.00_)&quot;萬&quot;;[Red]\(#,##0.00\)&quot;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'5.保險需求分析'!$F$61</c:f>
              <c:numCache>
                <c:formatCode>#,##0.00_)"萬";[Red]\(#,##0.00\)"萬"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3-4B9D-9C31-BB8C31FC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4259119"/>
        <c:axId val="504259535"/>
      </c:barChart>
      <c:catAx>
        <c:axId val="50425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04259535"/>
        <c:crosses val="autoZero"/>
        <c:auto val="1"/>
        <c:lblAlgn val="ctr"/>
        <c:lblOffset val="100"/>
        <c:noMultiLvlLbl val="0"/>
      </c:catAx>
      <c:valAx>
        <c:axId val="504259535"/>
        <c:scaling>
          <c:orientation val="minMax"/>
        </c:scaling>
        <c:delete val="1"/>
        <c:axPos val="b"/>
        <c:numFmt formatCode="#,##0.00_)&quot;萬&quot;;[Red]\(#,##0.00\)&quot;萬&quot;" sourceLinked="1"/>
        <c:majorTickMark val="none"/>
        <c:minorTickMark val="none"/>
        <c:tickLblPos val="nextTo"/>
        <c:crossAx val="5042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003399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配偶風險規劃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3399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'5.保險需求分析'!$E$56:$E$59</c:f>
              <c:numCache>
                <c:formatCode>#,##0_)"萬";[Red]\(#,##0\)"萬"</c:formatCode>
                <c:ptCount val="4"/>
                <c:pt idx="0">
                  <c:v>750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4-43BC-A6EA-A35FCFBDB9DF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270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'5.保險需求分析'!$D$56:$D$59</c:f>
              <c:strCache>
                <c:ptCount val="4"/>
                <c:pt idx="0">
                  <c:v>人身保險</c:v>
                </c:pt>
                <c:pt idx="1">
                  <c:v>重大疾病</c:v>
                </c:pt>
                <c:pt idx="2">
                  <c:v>傷害保險</c:v>
                </c:pt>
                <c:pt idx="3">
                  <c:v>照護險一次性</c:v>
                </c:pt>
              </c:strCache>
            </c:strRef>
          </c:cat>
          <c:val>
            <c:numRef>
              <c:f>'5.保險需求分析'!$F$56:$F$59</c:f>
              <c:numCache>
                <c:formatCode>#,##0_)"萬";[Red]\(#,##0\)"萬"</c:formatCode>
                <c:ptCount val="4"/>
                <c:pt idx="0">
                  <c:v>1442.1862019737828</c:v>
                </c:pt>
                <c:pt idx="1">
                  <c:v>400</c:v>
                </c:pt>
                <c:pt idx="2">
                  <c:v>450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4-43BC-A6EA-A35FCFBDB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6043743"/>
        <c:axId val="1936053311"/>
      </c:barChart>
      <c:catAx>
        <c:axId val="19360437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36053311"/>
        <c:crosses val="autoZero"/>
        <c:auto val="1"/>
        <c:lblAlgn val="ctr"/>
        <c:lblOffset val="100"/>
        <c:noMultiLvlLbl val="0"/>
      </c:catAx>
      <c:valAx>
        <c:axId val="1936053311"/>
        <c:scaling>
          <c:orientation val="minMax"/>
        </c:scaling>
        <c:delete val="1"/>
        <c:axPos val="t"/>
        <c:numFmt formatCode="#,##0_)&quot;萬&quot;;[Red]\(#,##0\)&quot;萬&quot;" sourceLinked="1"/>
        <c:majorTickMark val="none"/>
        <c:minorTickMark val="none"/>
        <c:tickLblPos val="nextTo"/>
        <c:crossAx val="19360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微軟正黑體" panose="020B0604030504040204" pitchFamily="34" charset="-120"/>
              <a:cs typeface="Arial" panose="020B0604020202020204" pitchFamily="34" charset="0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'5.保險需求分析'!$E$55</c:f>
              <c:strCache>
                <c:ptCount val="1"/>
                <c:pt idx="0">
                  <c:v>已備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'5.保險需求分析'!$E$61</c:f>
              <c:numCache>
                <c:formatCode>#,##0.00_)"萬";[Red]\(#,##0.00\)"萬"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F-46E1-9ADB-F514DB3718AB}"/>
            </c:ext>
          </c:extLst>
        </c:ser>
        <c:ser>
          <c:idx val="1"/>
          <c:order val="1"/>
          <c:tx>
            <c:strRef>
              <c:f>'5.保險需求分析'!$F$55</c:f>
              <c:strCache>
                <c:ptCount val="1"/>
                <c:pt idx="0">
                  <c:v>應備</c:v>
                </c:pt>
              </c:strCache>
            </c:strRef>
          </c:tx>
          <c:spPr>
            <a:noFill/>
            <a:ln w="19050">
              <a:solidFill>
                <a:srgbClr val="71DAFF"/>
              </a:solidFill>
              <a:prstDash val="sysDash"/>
            </a:ln>
            <a:effectLst/>
          </c:spPr>
          <c:invertIfNegative val="0"/>
          <c:dLbls>
            <c:numFmt formatCode="#,##0.00_)&quot;萬&quot;;[Red]\(#,##0.00\)&quot;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3399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'5.保險需求分析'!$D$61</c:f>
              <c:strCache>
                <c:ptCount val="1"/>
                <c:pt idx="0">
                  <c:v>照護險每月給付</c:v>
                </c:pt>
              </c:strCache>
            </c:strRef>
          </c:cat>
          <c:val>
            <c:numRef>
              <c:f>'5.保險需求分析'!$F$61</c:f>
              <c:numCache>
                <c:formatCode>#,##0.00_)"萬";[Red]\(#,##0.00\)"萬"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F-46E1-9ADB-F514DB37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4259119"/>
        <c:axId val="504259535"/>
      </c:barChart>
      <c:catAx>
        <c:axId val="504259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504259535"/>
        <c:crosses val="autoZero"/>
        <c:auto val="1"/>
        <c:lblAlgn val="ctr"/>
        <c:lblOffset val="100"/>
        <c:noMultiLvlLbl val="0"/>
      </c:catAx>
      <c:valAx>
        <c:axId val="504259535"/>
        <c:scaling>
          <c:orientation val="minMax"/>
        </c:scaling>
        <c:delete val="1"/>
        <c:axPos val="b"/>
        <c:numFmt formatCode="#,##0.00_)&quot;萬&quot;;[Red]\(#,##0.00\)&quot;萬&quot;" sourceLinked="1"/>
        <c:majorTickMark val="none"/>
        <c:minorTickMark val="none"/>
        <c:tickLblPos val="nextTo"/>
        <c:crossAx val="5042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003399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'6.資產配置'!$B$5</c:f>
              <c:strCache>
                <c:ptCount val="1"/>
                <c:pt idx="0">
                  <c:v>總資產</c:v>
                </c:pt>
              </c:strCache>
            </c:strRef>
          </c:tx>
          <c:spPr>
            <a:ln w="9525"/>
            <a:effectLst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FD4-8089-2B580E15722E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FD4-8089-2B580E15722E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2-4FD4-8089-2B580E15722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2-4FD4-8089-2B580E15722E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2-4FD4-8089-2B580E15722E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2-4FD4-8089-2B580E15722E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2-4FD4-8089-2B580E157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'6.資產配置'!$B$7:$B$13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'6.資產配置'!$C$7:$C$13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1-453D-BB08-C65D56B0E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'6.資產配置'!$J$5</c:f>
              <c:strCache>
                <c:ptCount val="1"/>
                <c:pt idx="0">
                  <c:v>總資產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4-4725-B10C-0E0847212676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4-4725-B10C-0E0847212676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4-4725-B10C-0E084721267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64-4725-B10C-0E0847212676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64-4725-B10C-0E0847212676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64-4725-B10C-0E0847212676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64-4725-B10C-0E0847212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'6.資產配置'!$J$7:$J$13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'6.資產配置'!$K$7:$K$13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64-4725-B10C-0E08472126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'6.資產配置'!$B$49</c:f>
              <c:strCache>
                <c:ptCount val="1"/>
                <c:pt idx="0">
                  <c:v>子女教育金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FD4-8089-2B580E15722E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FD4-8089-2B580E15722E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2-4FD4-8089-2B580E15722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2-4FD4-8089-2B580E15722E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2-4FD4-8089-2B580E15722E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2-4FD4-8089-2B580E15722E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2-4FD4-8089-2B580E157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'6.資產配置'!$B$51:$B$57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'6.資產配置'!$C$51:$C$57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1-453D-BB08-C65D56B0E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'6.資產配置'!$J$49</c:f>
              <c:strCache>
                <c:ptCount val="1"/>
                <c:pt idx="0">
                  <c:v>子女教育金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FD4-8089-2B580E15722E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FD4-8089-2B580E15722E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2-4FD4-8089-2B580E15722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2-4FD4-8089-2B580E15722E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2-4FD4-8089-2B580E15722E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2-4FD4-8089-2B580E15722E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2-4FD4-8089-2B580E157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'6.資產配置'!$J$51:$J$57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'6.資產配置'!$K$51:$K$57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1-453D-BB08-C65D56B0E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'6.資產配置'!$B$94</c:f>
              <c:strCache>
                <c:ptCount val="1"/>
                <c:pt idx="0">
                  <c:v>退休金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FD4-8089-2B580E15722E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FD4-8089-2B580E15722E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2-4FD4-8089-2B580E15722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2-4FD4-8089-2B580E15722E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2-4FD4-8089-2B580E15722E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2-4FD4-8089-2B580E15722E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2-4FD4-8089-2B580E157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'6.資產配置'!$B$96:$B$102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'6.資產配置'!$C$96:$C$102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1-453D-BB08-C65D56B0E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'6.資產配置'!$J$94</c:f>
              <c:strCache>
                <c:ptCount val="1"/>
                <c:pt idx="0">
                  <c:v>退休金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2-4FD4-8089-2B580E15722E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92-4FD4-8089-2B580E15722E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2-4FD4-8089-2B580E15722E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92-4FD4-8089-2B580E15722E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2-4FD4-8089-2B580E15722E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92-4FD4-8089-2B580E15722E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92-4FD4-8089-2B580E157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206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'6.資產配置'!$J$96:$J$102</c:f>
              <c:strCache>
                <c:ptCount val="7"/>
                <c:pt idx="0">
                  <c:v>期權</c:v>
                </c:pt>
                <c:pt idx="1">
                  <c:v>黃金存摺</c:v>
                </c:pt>
                <c:pt idx="2">
                  <c:v>高收益債</c:v>
                </c:pt>
                <c:pt idx="3">
                  <c:v>定存</c:v>
                </c:pt>
                <c:pt idx="4">
                  <c:v>全球股票基金</c:v>
                </c:pt>
                <c:pt idx="5">
                  <c:v>債券基金</c:v>
                </c:pt>
                <c:pt idx="6">
                  <c:v>A股</c:v>
                </c:pt>
              </c:strCache>
            </c:strRef>
          </c:cat>
          <c:val>
            <c:numRef>
              <c:f>'6.資產配置'!$K$96:$K$102</c:f>
              <c:numCache>
                <c:formatCode>#,##0_)"萬";[Red]\(#,##0\)</c:formatCode>
                <c:ptCount val="7"/>
                <c:pt idx="0">
                  <c:v>70</c:v>
                </c:pt>
                <c:pt idx="1">
                  <c:v>90</c:v>
                </c:pt>
                <c:pt idx="2">
                  <c:v>120</c:v>
                </c:pt>
                <c:pt idx="3">
                  <c:v>250</c:v>
                </c:pt>
                <c:pt idx="4">
                  <c:v>300</c:v>
                </c:pt>
                <c:pt idx="5">
                  <c:v>650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1-453D-BB08-C65D56B0EE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'7.理財目標試算規劃'!$C$25</c:f>
              <c:strCache>
                <c:ptCount val="1"/>
                <c:pt idx="0">
                  <c:v>底圖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2EF8230-7147-4AA8-9408-72F0AB902D73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701-45FF-9292-24C5CBAEF6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F0DC34-3872-48E9-8451-E1A166B7B660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701-45FF-9292-24C5CBAEF6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31C6787-085D-4C2B-AA4E-026CC3D6BDCF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701-45FF-9292-24C5CBAEF6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176D66-EA7D-486D-ADD2-0F28ADC46FF5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701-45FF-9292-24C5CBAEF6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29CA5F-BBE9-487B-86DC-8F4D5785C3E3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701-45FF-9292-24C5CBAEF6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ED16E55-6EB2-4D84-AA9F-CDBDC3DFF6F0}" type="CELLRANGE">
                      <a:rPr lang="zh-TW" altLang="en-US"/>
                      <a:pPr/>
                      <a:t>[CELLRANGE]</a:t>
                    </a:fld>
                    <a:endParaRPr lang="zh-TW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701-45FF-9292-24C5CBAEF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Arial Black" panose="020B0A04020102020204" pitchFamily="34" charset="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'7.理財目標試算規劃'!$B$26:$B$31</c:f>
              <c:strCache>
                <c:ptCount val="6"/>
                <c:pt idx="0">
                  <c:v>子女教育金</c:v>
                </c:pt>
                <c:pt idx="1">
                  <c:v>購車</c:v>
                </c:pt>
                <c:pt idx="2">
                  <c:v>購／換屋頭期款</c:v>
                </c:pt>
                <c:pt idx="3">
                  <c:v>退休金</c:v>
                </c:pt>
                <c:pt idx="4">
                  <c:v>創業基金</c:v>
                </c:pt>
                <c:pt idx="5">
                  <c:v>醫療基金</c:v>
                </c:pt>
              </c:strCache>
            </c:strRef>
          </c:cat>
          <c:val>
            <c:numRef>
              <c:f>'7.理財目標試算規劃'!$C$26:$C$31</c:f>
              <c:numCache>
                <c:formatCode>General"歲"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'7.理財目標試算規劃'!$C$6:$H$6</c15:f>
                <c15:dlblRangeCache>
                  <c:ptCount val="6"/>
                  <c:pt idx="0">
                    <c:v>119萬</c:v>
                  </c:pt>
                  <c:pt idx="1">
                    <c:v>150萬</c:v>
                  </c:pt>
                  <c:pt idx="2">
                    <c:v>672萬</c:v>
                  </c:pt>
                  <c:pt idx="3">
                    <c:v>1,200萬</c:v>
                  </c:pt>
                  <c:pt idx="4">
                    <c:v>156萬</c:v>
                  </c:pt>
                  <c:pt idx="5">
                    <c:v>728萬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3D8-40A9-B3F7-5B496B26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3553743"/>
        <c:axId val="1073563311"/>
      </c:barChart>
      <c:scatterChart>
        <c:scatterStyle val="lineMarker"/>
        <c:varyColors val="0"/>
        <c:ser>
          <c:idx val="1"/>
          <c:order val="1"/>
          <c:tx>
            <c:v>開始準備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5"/>
            <c:spPr>
              <a:solidFill>
                <a:srgbClr val="00B0F0">
                  <a:alpha val="89804"/>
                </a:srgbClr>
              </a:solidFill>
              <a:ln w="9525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Pt>
            <c:idx val="0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01-45FF-9292-24C5CBAEF62D}"/>
              </c:ext>
            </c:extLst>
          </c:dPt>
          <c:dPt>
            <c:idx val="1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01-45FF-9292-24C5CBAEF62D}"/>
              </c:ext>
            </c:extLst>
          </c:dPt>
          <c:dPt>
            <c:idx val="2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01-45FF-9292-24C5CBAEF62D}"/>
              </c:ext>
            </c:extLst>
          </c:dPt>
          <c:dPt>
            <c:idx val="3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01-45FF-9292-24C5CBAEF62D}"/>
              </c:ext>
            </c:extLst>
          </c:dPt>
          <c:dPt>
            <c:idx val="4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01-45FF-9292-24C5CBAEF62D}"/>
              </c:ext>
            </c:extLst>
          </c:dPt>
          <c:dPt>
            <c:idx val="5"/>
            <c:marker>
              <c:symbol val="circle"/>
              <c:size val="25"/>
              <c:spPr>
                <a:solidFill>
                  <a:srgbClr val="00B0F0">
                    <a:alpha val="89804"/>
                  </a:srgbClr>
                </a:solidFill>
                <a:ln w="9525"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01-45FF-9292-24C5CBAEF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altLang="zh-TW" sz="1200" b="1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'7.理財目標試算規劃'!$C$11:$H$11</c:f>
              <c:numCache>
                <c:formatCode>General"歲"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xVal>
          <c:yVal>
            <c:numRef>
              <c:f>'7.理財目標試算規劃'!$E$26:$E$31</c:f>
              <c:numCache>
                <c:formatCode>General</c:formatCode>
                <c:ptCount val="6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01-45FF-9292-24C5CBAEF62D}"/>
            </c:ext>
          </c:extLst>
        </c:ser>
        <c:ser>
          <c:idx val="2"/>
          <c:order val="2"/>
          <c:tx>
            <c:v>實現年齡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5"/>
            <c:spPr>
              <a:solidFill>
                <a:srgbClr val="003399">
                  <a:alpha val="89804"/>
                </a:srgbClr>
              </a:solidFill>
              <a:ln w="9525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numFmt formatCode="General&quot;歲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微軟正黑體" panose="020B0604030504040204" pitchFamily="34" charset="-120"/>
                    <a:cs typeface="Arial" panose="020B0604020202020204" pitchFamily="34" charset="0"/>
                  </a:defRPr>
                </a:pPr>
                <a:endParaRPr lang="zh-TW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'7.理財目標試算規劃'!$C$12:$H$12</c:f>
                <c:numCache>
                  <c:formatCode>General</c:formatCode>
                  <c:ptCount val="6"/>
                  <c:pt idx="0">
                    <c:v>1</c:v>
                  </c:pt>
                  <c:pt idx="1">
                    <c:v>3</c:v>
                  </c:pt>
                  <c:pt idx="2">
                    <c:v>5</c:v>
                  </c:pt>
                  <c:pt idx="3">
                    <c:v>15</c:v>
                  </c:pt>
                  <c:pt idx="4">
                    <c:v>5</c:v>
                  </c:pt>
                  <c:pt idx="5">
                    <c:v>20</c:v>
                  </c:pt>
                </c:numCache>
              </c:numRef>
            </c:minus>
            <c:spPr>
              <a:noFill/>
              <a:ln w="285750" cap="flat" cmpd="sng" algn="ctr">
                <a:solidFill>
                  <a:srgbClr val="65BDFF">
                    <a:alpha val="80000"/>
                  </a:srgbClr>
                </a:solidFill>
                <a:round/>
              </a:ln>
              <a:effectLst/>
            </c:spPr>
          </c:errBars>
          <c:xVal>
            <c:numRef>
              <c:f>'7.理財目標試算規劃'!$C$5:$H$5</c:f>
              <c:numCache>
                <c:formatCode>General"歲"</c:formatCode>
                <c:ptCount val="6"/>
                <c:pt idx="0">
                  <c:v>36</c:v>
                </c:pt>
                <c:pt idx="1">
                  <c:v>38</c:v>
                </c:pt>
                <c:pt idx="2">
                  <c:v>40</c:v>
                </c:pt>
                <c:pt idx="3">
                  <c:v>55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'7.理財目標試算規劃'!$E$26:$E$31</c:f>
              <c:numCache>
                <c:formatCode>General</c:formatCode>
                <c:ptCount val="6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01-45FF-9292-24C5CBAEF62D}"/>
            </c:ext>
          </c:extLst>
        </c:ser>
        <c:ser>
          <c:idx val="4"/>
          <c:order val="3"/>
          <c:tx>
            <c:v>可接受年齡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FF5050">
                  <a:alpha val="69804"/>
                </a:srgbClr>
              </a:solidFill>
              <a:ln w="9525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'4.理財目標'!$D$4:$D$9</c:f>
              <c:numCache>
                <c:formatCode>General"歲"</c:formatCode>
                <c:ptCount val="6"/>
                <c:pt idx="0">
                  <c:v>37</c:v>
                </c:pt>
                <c:pt idx="1">
                  <c:v>40</c:v>
                </c:pt>
                <c:pt idx="2">
                  <c:v>45</c:v>
                </c:pt>
                <c:pt idx="3">
                  <c:v>65</c:v>
                </c:pt>
                <c:pt idx="4">
                  <c:v>50</c:v>
                </c:pt>
                <c:pt idx="5">
                  <c:v>65</c:v>
                </c:pt>
              </c:numCache>
            </c:numRef>
          </c:xVal>
          <c:yVal>
            <c:numRef>
              <c:f>'7.理財目標試算規劃'!$E$26:$E$31</c:f>
              <c:numCache>
                <c:formatCode>General</c:formatCode>
                <c:ptCount val="6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701-45FF-9292-24C5CBAE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777967"/>
        <c:axId val="1532775887"/>
      </c:scatterChart>
      <c:catAx>
        <c:axId val="10735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3399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073563311"/>
        <c:crosses val="autoZero"/>
        <c:auto val="1"/>
        <c:lblAlgn val="ctr"/>
        <c:lblOffset val="100"/>
        <c:noMultiLvlLbl val="0"/>
      </c:catAx>
      <c:valAx>
        <c:axId val="1073563311"/>
        <c:scaling>
          <c:orientation val="minMax"/>
          <c:max val="71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numFmt formatCode="General&quot;歲&quot;" sourceLinked="1"/>
        <c:majorTickMark val="none"/>
        <c:minorTickMark val="in"/>
        <c:tickLblPos val="nextTo"/>
        <c:spPr>
          <a:noFill/>
          <a:ln>
            <a:solidFill>
              <a:srgbClr val="71C2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微軟正黑體" panose="020B0604030504040204" pitchFamily="34" charset="-120"/>
                <a:cs typeface="Arial" panose="020B0604020202020204" pitchFamily="34" charset="0"/>
              </a:defRPr>
            </a:pPr>
            <a:endParaRPr lang="zh-TW"/>
          </a:p>
        </c:txPr>
        <c:crossAx val="1073553743"/>
        <c:crosses val="autoZero"/>
        <c:crossBetween val="between"/>
        <c:minorUnit val="5"/>
      </c:valAx>
      <c:valAx>
        <c:axId val="15327758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777967"/>
        <c:crosses val="max"/>
        <c:crossBetween val="midCat"/>
      </c:valAx>
      <c:valAx>
        <c:axId val="1532777967"/>
        <c:scaling>
          <c:orientation val="minMax"/>
        </c:scaling>
        <c:delete val="1"/>
        <c:axPos val="b"/>
        <c:numFmt formatCode="General&quot;歲&quot;" sourceLinked="1"/>
        <c:majorTickMark val="out"/>
        <c:minorTickMark val="none"/>
        <c:tickLblPos val="nextTo"/>
        <c:crossAx val="1532775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C$13" lockText="1" noThreeD="1"/>
</file>

<file path=xl/ctrlProps/ctrlProp2.xml><?xml version="1.0" encoding="utf-8"?>
<formControlPr xmlns="http://schemas.microsoft.com/office/spreadsheetml/2009/9/main" objectType="CheckBox" fmlaLink="$C$17" lockText="1" noThreeD="1"/>
</file>

<file path=xl/ctrlProps/ctrlProp3.xml><?xml version="1.0" encoding="utf-8"?>
<formControlPr xmlns="http://schemas.microsoft.com/office/spreadsheetml/2009/9/main" objectType="CheckBox" fmlaLink="$D$13" lockText="1" noThreeD="1"/>
</file>

<file path=xl/ctrlProps/ctrlProp4.xml><?xml version="1.0" encoding="utf-8"?>
<formControlPr xmlns="http://schemas.microsoft.com/office/spreadsheetml/2009/9/main" objectType="CheckBox" checked="Checked" fmlaLink="$D$17" lockText="1" noThreeD="1"/>
</file>

<file path=xl/ctrlProps/ctrlProp5.xml><?xml version="1.0" encoding="utf-8"?>
<formControlPr xmlns="http://schemas.microsoft.com/office/spreadsheetml/2009/9/main" objectType="CheckBox" fmlaLink="$E$13" lockText="1" noThreeD="1"/>
</file>

<file path=xl/ctrlProps/ctrlProp6.xml><?xml version="1.0" encoding="utf-8"?>
<formControlPr xmlns="http://schemas.microsoft.com/office/spreadsheetml/2009/9/main" objectType="CheckBox" fmlaLink="$E$17" lockText="1" noThreeD="1"/>
</file>

<file path=xl/ctrlProps/ctrlProp7.xml><?xml version="1.0" encoding="utf-8"?>
<formControlPr xmlns="http://schemas.microsoft.com/office/spreadsheetml/2009/9/main" objectType="CheckBox" fmlaLink="$G$13" lockText="1" noThreeD="1"/>
</file>

<file path=xl/ctrlProps/ctrlProp8.xml><?xml version="1.0" encoding="utf-8"?>
<formControlPr xmlns="http://schemas.microsoft.com/office/spreadsheetml/2009/9/main" objectType="CheckBox" fmlaLink="$G$17" lockText="1" noThreeD="1"/>
</file>

<file path=xl/ctrlProps/ctrlProp9.xml><?xml version="1.0" encoding="utf-8"?>
<formControlPr xmlns="http://schemas.microsoft.com/office/spreadsheetml/2009/9/main" objectType="CheckBox" fmlaLink="$H$13" lockText="1" noThreeD="1"/>
</file>

<file path=xl/ctrlProps/ctrlProp10.xml><?xml version="1.0" encoding="utf-8"?>
<formControlPr xmlns="http://schemas.microsoft.com/office/spreadsheetml/2009/9/main" objectType="CheckBox" fmlaLink="$H$17" lockText="1" noThreeD="1"/>
</file>

<file path=xl/ctrlProps/ctrlProp11.xml><?xml version="1.0" encoding="utf-8"?>
<formControlPr xmlns="http://schemas.microsoft.com/office/spreadsheetml/2009/9/main" objectType="CheckBox" fmlaLink="$F$13" lockText="1" noThreeD="1"/>
</file>

<file path=xl/ctrlProps/ctrlProp12.xml><?xml version="1.0" encoding="utf-8"?>
<formControlPr xmlns="http://schemas.microsoft.com/office/spreadsheetml/2009/9/main" objectType="CheckBox" fmlaLink="$F$17" lockText="1" noThreeD="1"/>
</file>

<file path=xl/ctrlProps/ctrlProp13.xml><?xml version="1.0" encoding="utf-8"?>
<formControlPr xmlns="http://schemas.microsoft.com/office/spreadsheetml/2009/9/main" objectType="CheckBox" checked="Checked" fmlaLink="$C$26" lockText="1" noThreeD="1"/>
</file>

<file path=xl/ctrlProps/ctrlProp14.xml><?xml version="1.0" encoding="utf-8"?>
<formControlPr xmlns="http://schemas.microsoft.com/office/spreadsheetml/2009/9/main" objectType="CheckBox" checked="Checked" fmlaLink="$D$2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20</xdr:row>
      <xdr:rowOff>98784</xdr:rowOff>
    </xdr:from>
    <xdr:to>
      <xdr:col>3</xdr:col>
      <xdr:colOff>121920</xdr:colOff>
      <xdr:row>31</xdr:row>
      <xdr:rowOff>182880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213360</xdr:colOff>
      <xdr:row>1</xdr:row>
      <xdr:rowOff>102594</xdr:rowOff>
    </xdr:from>
    <xdr:to>
      <xdr:col>7</xdr:col>
      <xdr:colOff>327660</xdr:colOff>
      <xdr:row>12</xdr:row>
      <xdr:rowOff>186690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0</xdr:col>
      <xdr:colOff>205740</xdr:colOff>
      <xdr:row>1</xdr:row>
      <xdr:rowOff>102594</xdr:rowOff>
    </xdr:from>
    <xdr:to>
      <xdr:col>3</xdr:col>
      <xdr:colOff>121920</xdr:colOff>
      <xdr:row>12</xdr:row>
      <xdr:rowOff>186690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absolute">
    <xdr:from>
      <xdr:col>0</xdr:col>
      <xdr:colOff>205740</xdr:colOff>
      <xdr:row>11</xdr:row>
      <xdr:rowOff>70209</xdr:rowOff>
    </xdr:from>
    <xdr:to>
      <xdr:col>3</xdr:col>
      <xdr:colOff>121920</xdr:colOff>
      <xdr:row>22</xdr:row>
      <xdr:rowOff>154305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4</xdr:col>
      <xdr:colOff>213360</xdr:colOff>
      <xdr:row>11</xdr:row>
      <xdr:rowOff>77829</xdr:rowOff>
    </xdr:from>
    <xdr:to>
      <xdr:col>7</xdr:col>
      <xdr:colOff>327660</xdr:colOff>
      <xdr:row>22</xdr:row>
      <xdr:rowOff>161925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4</xdr:col>
      <xdr:colOff>213360</xdr:colOff>
      <xdr:row>20</xdr:row>
      <xdr:rowOff>14964</xdr:rowOff>
    </xdr:from>
    <xdr:to>
      <xdr:col>7</xdr:col>
      <xdr:colOff>327660</xdr:colOff>
      <xdr:row>31</xdr:row>
      <xdr:rowOff>99060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396240</xdr:colOff>
      <xdr:row>8</xdr:row>
      <xdr:rowOff>19050</xdr:rowOff>
    </xdr:from>
    <xdr:to>
      <xdr:col>2</xdr:col>
      <xdr:colOff>648600</xdr:colOff>
      <xdr:row>11</xdr:row>
      <xdr:rowOff>72690</xdr:rowOff>
    </xdr:to>
    <xdr:grpSp>
      <xdr:nvGrpSpPr>
        <xdr:cNvPr id="33" name="群組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/>
      </xdr:nvGrpSpPr>
      <xdr:grpSpPr>
        <a:xfrm>
          <a:off x="396240" y="1634490"/>
          <a:ext cx="1944000" cy="648000"/>
          <a:chOff x="6454140" y="1950720"/>
          <a:chExt cx="1944000" cy="648000"/>
        </a:xfrm>
      </xdr:grpSpPr>
      <xdr:sp macro="" textlink="">
        <xdr:nvSpPr>
          <xdr:cNvPr id="11" name="文字方塊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454140" y="1950720"/>
            <a:ext cx="1944000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0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（稅後總收入－總支出）</a:t>
            </a:r>
            <a:endParaRPr lang="en-US" altLang="zh-TW" sz="10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  <a:p>
            <a:pPr algn="ctr"/>
            <a:r>
              <a:rPr lang="zh-TW" altLang="en-US" sz="10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稅後總收入</a:t>
            </a:r>
          </a:p>
        </xdr:txBody>
      </xdr:sp>
      <xdr:cxnSp macro="">
        <xdr:nvCxnSpPr>
          <xdr:cNvPr id="13" name="直線接點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6706140" y="2276572"/>
            <a:ext cx="1440000" cy="0"/>
          </a:xfrm>
          <a:prstGeom prst="lin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4</xdr:col>
      <xdr:colOff>418742</xdr:colOff>
      <xdr:row>8</xdr:row>
      <xdr:rowOff>19200</xdr:rowOff>
    </xdr:from>
    <xdr:to>
      <xdr:col>7</xdr:col>
      <xdr:colOff>122462</xdr:colOff>
      <xdr:row>11</xdr:row>
      <xdr:rowOff>72540</xdr:rowOff>
    </xdr:to>
    <xdr:grpSp>
      <xdr:nvGrpSpPr>
        <xdr:cNvPr id="32" name="群組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3603902" y="1634640"/>
          <a:ext cx="1944000" cy="647700"/>
          <a:chOff x="7513320" y="2956560"/>
          <a:chExt cx="1944000" cy="647700"/>
        </a:xfrm>
        <a:noFill/>
      </xdr:grpSpPr>
      <xdr:sp macro="" textlink="">
        <xdr:nvSpPr>
          <xdr:cNvPr id="23" name="文字方塊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7513320" y="2956560"/>
            <a:ext cx="1944000" cy="6477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總負債</a:t>
            </a:r>
            <a:endPara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  <a:p>
            <a:pPr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總資產</a:t>
            </a:r>
          </a:p>
        </xdr:txBody>
      </xdr:sp>
      <xdr:cxnSp macro="">
        <xdr:nvCxnSpPr>
          <xdr:cNvPr id="26" name="直線接點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>
            <a:off x="8179320" y="3284220"/>
            <a:ext cx="612000" cy="0"/>
          </a:xfrm>
          <a:prstGeom prst="line">
            <a:avLst/>
          </a:prstGeom>
          <a:grp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0</xdr:col>
      <xdr:colOff>396240</xdr:colOff>
      <xdr:row>26</xdr:row>
      <xdr:rowOff>118110</xdr:rowOff>
    </xdr:from>
    <xdr:to>
      <xdr:col>2</xdr:col>
      <xdr:colOff>648600</xdr:colOff>
      <xdr:row>29</xdr:row>
      <xdr:rowOff>171750</xdr:rowOff>
    </xdr:to>
    <xdr:grpSp>
      <xdr:nvGrpSpPr>
        <xdr:cNvPr id="36" name="群組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396240" y="5299710"/>
          <a:ext cx="1944000" cy="648000"/>
          <a:chOff x="8740140" y="3307080"/>
          <a:chExt cx="1944000" cy="648000"/>
        </a:xfrm>
      </xdr:grpSpPr>
      <xdr:sp macro="" textlink="">
        <xdr:nvSpPr>
          <xdr:cNvPr id="19" name="文字方塊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8740140" y="3307080"/>
            <a:ext cx="1944000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保費</a:t>
            </a:r>
            <a:endPara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endParaRPr>
          </a:p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稅後工作收入</a:t>
            </a:r>
          </a:p>
        </xdr:txBody>
      </xdr:sp>
      <xdr:cxnSp macro="">
        <xdr:nvCxnSpPr>
          <xdr:cNvPr id="28" name="直線接點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>
            <a:off x="9262140" y="3627120"/>
            <a:ext cx="900000" cy="0"/>
          </a:xfrm>
          <a:prstGeom prst="lin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4</xdr:col>
      <xdr:colOff>418742</xdr:colOff>
      <xdr:row>26</xdr:row>
      <xdr:rowOff>118110</xdr:rowOff>
    </xdr:from>
    <xdr:to>
      <xdr:col>7</xdr:col>
      <xdr:colOff>122462</xdr:colOff>
      <xdr:row>29</xdr:row>
      <xdr:rowOff>171750</xdr:rowOff>
    </xdr:to>
    <xdr:grpSp>
      <xdr:nvGrpSpPr>
        <xdr:cNvPr id="39" name="群組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3603902" y="5299710"/>
          <a:ext cx="1944000" cy="648000"/>
          <a:chOff x="6514384" y="3855720"/>
          <a:chExt cx="1944000" cy="648000"/>
        </a:xfrm>
        <a:noFill/>
      </xdr:grpSpPr>
      <xdr:sp macro="" textlink="">
        <xdr:nvSpPr>
          <xdr:cNvPr id="22" name="文字方塊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6514384" y="3855720"/>
            <a:ext cx="1944000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（流動性資產</a:t>
            </a:r>
            <a:r>
              <a:rPr lang="en-US" altLang="zh-TW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+</a:t>
            </a:r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投資性資產）</a:t>
            </a:r>
            <a:endPara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endParaRPr>
          </a:p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總資產</a:t>
            </a:r>
          </a:p>
        </xdr:txBody>
      </xdr:sp>
      <xdr:cxnSp macro="">
        <xdr:nvCxnSpPr>
          <xdr:cNvPr id="29" name="直線接點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flipV="1">
            <a:off x="6586384" y="4183380"/>
            <a:ext cx="1800000" cy="22860"/>
          </a:xfrm>
          <a:prstGeom prst="line">
            <a:avLst/>
          </a:prstGeom>
          <a:grp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4</xdr:col>
      <xdr:colOff>418742</xdr:colOff>
      <xdr:row>17</xdr:row>
      <xdr:rowOff>91440</xdr:rowOff>
    </xdr:from>
    <xdr:to>
      <xdr:col>7</xdr:col>
      <xdr:colOff>122462</xdr:colOff>
      <xdr:row>20</xdr:row>
      <xdr:rowOff>145080</xdr:rowOff>
    </xdr:to>
    <xdr:grpSp>
      <xdr:nvGrpSpPr>
        <xdr:cNvPr id="37" name="群組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/>
      </xdr:nvGrpSpPr>
      <xdr:grpSpPr>
        <a:xfrm>
          <a:off x="3603902" y="3489960"/>
          <a:ext cx="1944000" cy="648000"/>
          <a:chOff x="8831580" y="2179320"/>
          <a:chExt cx="1944000" cy="648000"/>
        </a:xfrm>
        <a:noFill/>
      </xdr:grpSpPr>
      <xdr:sp macro="" textlink="">
        <xdr:nvSpPr>
          <xdr:cNvPr id="18" name="文字方塊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8831580" y="2179320"/>
            <a:ext cx="1944000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流動性資產</a:t>
            </a:r>
            <a:endPara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endParaRPr>
          </a:p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短期負債</a:t>
            </a:r>
          </a:p>
        </xdr:txBody>
      </xdr:sp>
      <xdr:cxnSp macro="">
        <xdr:nvCxnSpPr>
          <xdr:cNvPr id="31" name="直線接點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9407580" y="2506980"/>
            <a:ext cx="792000" cy="0"/>
          </a:xfrm>
          <a:prstGeom prst="line">
            <a:avLst/>
          </a:prstGeom>
          <a:grp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0</xdr:col>
      <xdr:colOff>396240</xdr:colOff>
      <xdr:row>17</xdr:row>
      <xdr:rowOff>91440</xdr:rowOff>
    </xdr:from>
    <xdr:to>
      <xdr:col>2</xdr:col>
      <xdr:colOff>648600</xdr:colOff>
      <xdr:row>20</xdr:row>
      <xdr:rowOff>145080</xdr:rowOff>
    </xdr:to>
    <xdr:grpSp>
      <xdr:nvGrpSpPr>
        <xdr:cNvPr id="35" name="群組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396240" y="3489960"/>
          <a:ext cx="1944000" cy="648000"/>
          <a:chOff x="8823960" y="1386840"/>
          <a:chExt cx="1944000" cy="648000"/>
        </a:xfrm>
      </xdr:grpSpPr>
      <xdr:sp macro="" textlink="">
        <xdr:nvSpPr>
          <xdr:cNvPr id="17" name="文字方塊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8823960" y="1386840"/>
            <a:ext cx="1944000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流動性資產</a:t>
            </a:r>
            <a:endPara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endParaRPr>
          </a:p>
          <a:p>
            <a:pPr marL="0" indent="0" algn="ctr"/>
            <a:r>
              <a:rPr lang="zh-TW" altLang="en-US" sz="1100">
                <a:solidFill>
                  <a:schemeClr val="tx1">
                    <a:lumMod val="50000"/>
                    <a:lumOff val="50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rPr>
              <a:t>月總支出</a:t>
            </a:r>
          </a:p>
        </xdr:txBody>
      </xdr:sp>
      <xdr:cxnSp macro="">
        <xdr:nvCxnSpPr>
          <xdr:cNvPr id="34" name="直線接點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9417960" y="1706880"/>
            <a:ext cx="756000" cy="0"/>
          </a:xfrm>
          <a:prstGeom prst="lin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0.36182</cdr:x>
      <cdr:y>0.26944</cdr:y>
    </cdr:from>
    <cdr:to>
      <cdr:x>0.66355</cdr:x>
      <cdr:y>0.43333</cdr:y>
    </cdr:to>
    <cdr:sp macro="" textlink="'3.財務比例'!$B$24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851934" y="609855"/>
          <a:ext cx="710448" cy="37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indent="0" algn="ctr"/>
          <a:fld id="{274A346E-2251-47D3-B38C-6069F786929B}" type="TxLink">
            <a:rPr lang="en-US" altLang="en-US" sz="1800" b="0" i="0" u="none" strike="noStrike">
              <a:solidFill>
                <a:srgbClr val="003399"/>
              </a:solidFill>
              <a:latin typeface="Arial Black" panose="020B0A04020102020204" pitchFamily="34" charset="0"/>
              <a:ea typeface="+mn-ea"/>
              <a:cs typeface="Arial"/>
            </a:rPr>
            <a:pPr marL="0" indent="0" algn="ctr"/>
            <a:t>6.3%</a:t>
          </a:fld>
          <a:endParaRPr lang="zh-TW" altLang="en-US" sz="1800" b="0" i="0" u="none" strike="noStrike">
            <a:solidFill>
              <a:srgbClr val="003399"/>
            </a:solidFill>
            <a:latin typeface="Arial Black" panose="020B0A04020102020204" pitchFamily="34" charset="0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0.28972</cdr:x>
      <cdr:y>0.41111</cdr:y>
    </cdr:from>
    <cdr:to>
      <cdr:x>0.69559</cdr:x>
      <cdr:y>0.51667</cdr:y>
    </cdr:to>
    <cdr:sp macro="" textlink="'3.財務比例'!$A$24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826770" y="1127760"/>
          <a:ext cx="11582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262CA05F-553E-4A65-B00D-5A800DD72628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保費負擔率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0.36182</cdr:x>
      <cdr:y>0.26944</cdr:y>
    </cdr:from>
    <cdr:to>
      <cdr:x>0.66355</cdr:x>
      <cdr:y>0.43333</cdr:y>
    </cdr:to>
    <cdr:sp macro="" textlink="'3.財務比例'!$F$5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1032510" y="739140"/>
          <a:ext cx="861060" cy="44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fld id="{0A9985CF-7355-4DF6-A86C-826392FC8998}" type="TxLink">
            <a:rPr lang="en-US" altLang="en-US" sz="1800" b="0" i="0" u="none" strike="noStrike">
              <a:solidFill>
                <a:srgbClr val="003399"/>
              </a:solidFill>
              <a:latin typeface="Arial Black" panose="020B0A04020102020204" pitchFamily="34" charset="0"/>
              <a:cs typeface="Arial"/>
            </a:rPr>
            <a:pPr algn="ctr"/>
            <a:t>39%</a:t>
          </a:fld>
          <a:endParaRPr lang="zh-TW" altLang="en-US" sz="1600">
            <a:solidFill>
              <a:srgbClr val="0033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0.28972</cdr:x>
      <cdr:y>0.41111</cdr:y>
    </cdr:from>
    <cdr:to>
      <cdr:x>0.69559</cdr:x>
      <cdr:y>0.51667</cdr:y>
    </cdr:to>
    <cdr:sp macro="" textlink="'3.財務比例'!$E$5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826770" y="1127760"/>
          <a:ext cx="11582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B144662F-9A57-4B57-AD43-034726306655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資產負債率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0.36182</cdr:x>
      <cdr:y>0.26944</cdr:y>
    </cdr:from>
    <cdr:to>
      <cdr:x>0.66355</cdr:x>
      <cdr:y>0.43333</cdr:y>
    </cdr:to>
    <cdr:sp macro="" textlink="'3.財務比例'!$B$5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1032510" y="739140"/>
          <a:ext cx="861060" cy="449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indent="0" algn="ctr"/>
          <a:fld id="{0BB72E0A-970C-4F47-8C2B-7C037817ED91}" type="TxLink">
            <a:rPr lang="en-US" altLang="en-US" sz="1800" b="0" i="0" u="none" strike="noStrike">
              <a:solidFill>
                <a:srgbClr val="003399"/>
              </a:solidFill>
              <a:latin typeface="Arial Black" panose="020B0A04020102020204" pitchFamily="34" charset="0"/>
              <a:ea typeface="+mn-ea"/>
              <a:cs typeface="Arial"/>
            </a:rPr>
            <a:pPr marL="0" indent="0" algn="ctr"/>
            <a:t>23%</a:t>
          </a:fld>
          <a:endParaRPr lang="zh-TW" altLang="en-US" sz="1800" b="0" i="0" u="none" strike="noStrike">
            <a:solidFill>
              <a:srgbClr val="003399"/>
            </a:solidFill>
            <a:latin typeface="Arial Black" panose="020B0A04020102020204" pitchFamily="34" charset="0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0.28972</cdr:x>
      <cdr:y>0.41111</cdr:y>
    </cdr:from>
    <cdr:to>
      <cdr:x>0.69559</cdr:x>
      <cdr:y>0.51667</cdr:y>
    </cdr:to>
    <cdr:sp macro="" textlink="'3.財務比例'!$A$5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826770" y="1127760"/>
          <a:ext cx="11582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6DEF206A-0D64-42B8-8F86-84ACC24D545E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儲蓄率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0.31068</cdr:x>
      <cdr:y>0.26944</cdr:y>
    </cdr:from>
    <cdr:to>
      <cdr:x>0.7055</cdr:x>
      <cdr:y>0.43333</cdr:y>
    </cdr:to>
    <cdr:sp macro="" textlink="'3.財務比例'!$B$14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731520" y="609855"/>
          <a:ext cx="929640" cy="37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A9DF2BD1-BD92-4C59-BA62-D833AA01A60B}" type="TxLink">
            <a:rPr lang="en-US" altLang="en-US" sz="1600" b="0" i="0" u="none" strike="noStrike">
              <a:solidFill>
                <a:srgbClr val="003399"/>
              </a:solidFill>
              <a:latin typeface="Arial"/>
              <a:cs typeface="Arial"/>
            </a:rPr>
            <a:pPr algn="ctr"/>
            <a:t>43</a:t>
          </a:fld>
          <a:endParaRPr lang="zh-TW" altLang="en-US" sz="3200">
            <a:solidFill>
              <a:srgbClr val="0033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0.28972</cdr:x>
      <cdr:y>0.41111</cdr:y>
    </cdr:from>
    <cdr:to>
      <cdr:x>0.69559</cdr:x>
      <cdr:y>0.51667</cdr:y>
    </cdr:to>
    <cdr:sp macro="" textlink="'3.財務比例'!$A$14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826770" y="1127760"/>
          <a:ext cx="11582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8CA505B1-83EB-41EA-99B9-553E089156F5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緊急預備金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0.31068</cdr:x>
      <cdr:y>0.26944</cdr:y>
    </cdr:from>
    <cdr:to>
      <cdr:x>0.7055</cdr:x>
      <cdr:y>0.43333</cdr:y>
    </cdr:to>
    <cdr:sp macro="" textlink="'3.財務比例'!$F$14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731520" y="609855"/>
          <a:ext cx="929640" cy="37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9B9FFD29-C623-4D1A-9D38-BB3302BCCCC7}" type="TxLink">
            <a:rPr lang="en-US" altLang="en-US" sz="1600" b="0" i="0" u="none" strike="noStrike">
              <a:solidFill>
                <a:srgbClr val="003399"/>
              </a:solidFill>
              <a:latin typeface="Arial"/>
              <a:ea typeface="+mn-ea"/>
              <a:cs typeface="Arial"/>
            </a:rPr>
            <a:pPr marL="0" indent="0" algn="ctr"/>
            <a:t>303%</a:t>
          </a:fld>
          <a:endParaRPr lang="zh-TW" altLang="en-US" sz="1600" b="0" i="0" u="none" strike="noStrike">
            <a:solidFill>
              <a:srgbClr val="003399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0.28972</cdr:x>
      <cdr:y>0.41111</cdr:y>
    </cdr:from>
    <cdr:to>
      <cdr:x>0.69559</cdr:x>
      <cdr:y>0.51667</cdr:y>
    </cdr:to>
    <cdr:sp macro="" textlink="'3.財務比例'!$E$14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826770" y="1127760"/>
          <a:ext cx="115824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A43B9061-A5D8-4CFB-9011-68EA3D1C5A54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短期償債能力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0.36182</cdr:x>
      <cdr:y>0.29974</cdr:y>
    </cdr:from>
    <cdr:to>
      <cdr:x>0.66355</cdr:x>
      <cdr:y>0.46363</cdr:y>
    </cdr:to>
    <cdr:sp macro="" textlink="'3.財務比例'!$F$24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9F1FAA7-478A-9638-A947-7A98AC2F15EC}"/>
            </a:ext>
          </a:extLst>
        </cdr:cNvPr>
        <cdr:cNvSpPr txBox="1"/>
      </cdr:nvSpPr>
      <cdr:spPr>
        <a:xfrm xmlns:a="http://schemas.openxmlformats.org/drawingml/2006/main">
          <a:off x="851934" y="678435"/>
          <a:ext cx="710448" cy="370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marL="0" indent="0" algn="ctr"/>
          <a:fld id="{892CB871-288B-42AA-BF50-8CB093D3496B}" type="TxLink">
            <a:rPr lang="en-US" altLang="en-US" sz="1800" b="0" i="0" u="none" strike="noStrike">
              <a:solidFill>
                <a:srgbClr val="003399"/>
              </a:solidFill>
              <a:latin typeface="Arial Black" panose="020B0A04020102020204" pitchFamily="34" charset="0"/>
              <a:ea typeface="+mn-ea"/>
              <a:cs typeface="Arial"/>
            </a:rPr>
            <a:pPr marL="0" indent="0" algn="ctr"/>
            <a:t>15%</a:t>
          </a:fld>
          <a:endParaRPr lang="zh-TW" altLang="en-US" sz="1800" b="0" i="0" u="none" strike="noStrike">
            <a:solidFill>
              <a:srgbClr val="003399"/>
            </a:solidFill>
            <a:latin typeface="Arial Black" panose="020B0A04020102020204" pitchFamily="34" charset="0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0.28972</cdr:x>
      <cdr:y>0.44814</cdr:y>
    </cdr:from>
    <cdr:to>
      <cdr:x>0.69559</cdr:x>
      <cdr:y>0.5537</cdr:y>
    </cdr:to>
    <cdr:sp macro="" textlink="'3.財務比例'!$E$24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847828-6980-E1F5-9719-EDE7A624B3EE}"/>
            </a:ext>
          </a:extLst>
        </cdr:cNvPr>
        <cdr:cNvSpPr txBox="1"/>
      </cdr:nvSpPr>
      <cdr:spPr>
        <a:xfrm xmlns:a="http://schemas.openxmlformats.org/drawingml/2006/main">
          <a:off x="682169" y="1014333"/>
          <a:ext cx="955653" cy="238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marL="0" indent="0" algn="ctr"/>
          <a:fld id="{256834FE-4F1A-4E7B-BEFD-C17F1303DF5A}" type="TxLink">
            <a:rPr lang="zh-TW" altLang="en-US" sz="1200" b="1" i="0" u="none" strike="noStrike">
              <a:solidFill>
                <a:srgbClr val="003399"/>
              </a:solidFill>
              <a:latin typeface="微軟正黑體"/>
              <a:ea typeface="微軟正黑體"/>
              <a:cs typeface="+mn-cs"/>
            </a:rPr>
            <a:pPr marL="0" indent="0" algn="ctr"/>
            <a:t>生息資產比率</a:t>
          </a:fld>
          <a:endParaRPr lang="zh-TW" altLang="en-US" sz="1200" b="1" i="0" u="none" strike="noStrike">
            <a:solidFill>
              <a:srgbClr val="003399"/>
            </a:solidFill>
            <a:latin typeface="微軟正黑體"/>
            <a:ea typeface="微軟正黑體"/>
            <a:cs typeface="+mn-cs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39310</xdr:rowOff>
    </xdr:from>
    <xdr:to>
      <xdr:col>11</xdr:col>
      <xdr:colOff>367937</xdr:colOff>
      <xdr:row>29</xdr:row>
      <xdr:rowOff>6652</xdr:rowOff>
    </xdr:to>
    <xdr:graphicFrame macro="">
      <xdr:nvGraphicFramePr>
        <xdr:cNvPr id="27" name="圖表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橢圓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0863599" y="10995468"/>
          <a:ext cx="288000" cy="288000"/>
        </a:xfrm>
        <a:prstGeom prst="ellipse">
          <a:avLst/>
        </a:prstGeom>
        <a:gradFill>
          <a:gsLst>
            <a:gs pos="25000">
              <a:srgbClr val="00B0F0">
                <a:lumMod val="50000"/>
              </a:srgbClr>
            </a:gs>
            <a:gs pos="100000">
              <a:srgbClr val="00B0F0">
                <a:lumMod val="85000"/>
                <a:lumOff val="15000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橢圓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0898676" y="11008541"/>
          <a:ext cx="217846" cy="142330"/>
        </a:xfrm>
        <a:prstGeom prst="ellipse">
          <a:avLst/>
        </a:prstGeom>
        <a:gradFill>
          <a:gsLst>
            <a:gs pos="5000">
              <a:schemeClr val="bg1"/>
            </a:gs>
            <a:gs pos="95000">
              <a:schemeClr val="bg1">
                <a:alpha val="5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25</xdr:row>
      <xdr:rowOff>7620</xdr:rowOff>
    </xdr:from>
    <xdr:to>
      <xdr:col>6</xdr:col>
      <xdr:colOff>430530</xdr:colOff>
      <xdr:row>38</xdr:row>
      <xdr:rowOff>76200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65</xdr:row>
      <xdr:rowOff>22860</xdr:rowOff>
    </xdr:from>
    <xdr:to>
      <xdr:col>6</xdr:col>
      <xdr:colOff>575310</xdr:colOff>
      <xdr:row>78</xdr:row>
      <xdr:rowOff>190500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525780</xdr:colOff>
      <xdr:row>21</xdr:row>
      <xdr:rowOff>76200</xdr:rowOff>
    </xdr:from>
    <xdr:to>
      <xdr:col>6</xdr:col>
      <xdr:colOff>853440</xdr:colOff>
      <xdr:row>23</xdr:row>
      <xdr:rowOff>22860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548640</xdr:colOff>
      <xdr:row>61</xdr:row>
      <xdr:rowOff>99060</xdr:rowOff>
    </xdr:from>
    <xdr:to>
      <xdr:col>6</xdr:col>
      <xdr:colOff>876300</xdr:colOff>
      <xdr:row>63</xdr:row>
      <xdr:rowOff>45720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107</xdr:row>
      <xdr:rowOff>22860</xdr:rowOff>
    </xdr:from>
    <xdr:ext cx="6336030" cy="2743200"/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>
    <xdr:from>
      <xdr:col>2</xdr:col>
      <xdr:colOff>548640</xdr:colOff>
      <xdr:row>103</xdr:row>
      <xdr:rowOff>99060</xdr:rowOff>
    </xdr:from>
    <xdr:to>
      <xdr:col>6</xdr:col>
      <xdr:colOff>876300</xdr:colOff>
      <xdr:row>105</xdr:row>
      <xdr:rowOff>45720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149</xdr:row>
      <xdr:rowOff>22860</xdr:rowOff>
    </xdr:from>
    <xdr:ext cx="6336030" cy="2743200"/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>
    <xdr:from>
      <xdr:col>2</xdr:col>
      <xdr:colOff>548640</xdr:colOff>
      <xdr:row>145</xdr:row>
      <xdr:rowOff>99060</xdr:rowOff>
    </xdr:from>
    <xdr:to>
      <xdr:col>6</xdr:col>
      <xdr:colOff>876300</xdr:colOff>
      <xdr:row>147</xdr:row>
      <xdr:rowOff>45720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17</xdr:row>
      <xdr:rowOff>190500</xdr:rowOff>
    </xdr:from>
    <xdr:to>
      <xdr:col>5</xdr:col>
      <xdr:colOff>965200</xdr:colOff>
      <xdr:row>33</xdr:row>
      <xdr:rowOff>114300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17</xdr:row>
      <xdr:rowOff>190500</xdr:rowOff>
    </xdr:from>
    <xdr:to>
      <xdr:col>13</xdr:col>
      <xdr:colOff>980440</xdr:colOff>
      <xdr:row>33</xdr:row>
      <xdr:rowOff>114300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266700</xdr:colOff>
      <xdr:row>62</xdr:row>
      <xdr:rowOff>7620</xdr:rowOff>
    </xdr:from>
    <xdr:to>
      <xdr:col>5</xdr:col>
      <xdr:colOff>965200</xdr:colOff>
      <xdr:row>77</xdr:row>
      <xdr:rowOff>129540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274320</xdr:colOff>
      <xdr:row>62</xdr:row>
      <xdr:rowOff>7620</xdr:rowOff>
    </xdr:from>
    <xdr:to>
      <xdr:col>13</xdr:col>
      <xdr:colOff>972820</xdr:colOff>
      <xdr:row>77</xdr:row>
      <xdr:rowOff>129540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7620</xdr:colOff>
      <xdr:row>107</xdr:row>
      <xdr:rowOff>0</xdr:rowOff>
    </xdr:from>
    <xdr:to>
      <xdr:col>5</xdr:col>
      <xdr:colOff>988060</xdr:colOff>
      <xdr:row>122</xdr:row>
      <xdr:rowOff>121920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266700</xdr:colOff>
      <xdr:row>107</xdr:row>
      <xdr:rowOff>30480</xdr:rowOff>
    </xdr:from>
    <xdr:to>
      <xdr:col>13</xdr:col>
      <xdr:colOff>965200</xdr:colOff>
      <xdr:row>122</xdr:row>
      <xdr:rowOff>152400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12</xdr:row>
          <xdr:rowOff>297180</xdr:rowOff>
        </xdr:from>
        <xdr:to>
          <xdr:col>2</xdr:col>
          <xdr:colOff>335280</xdr:colOff>
          <xdr:row>13</xdr:row>
          <xdr:rowOff>243840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15</xdr:row>
          <xdr:rowOff>30480</xdr:rowOff>
        </xdr:from>
        <xdr:to>
          <xdr:col>2</xdr:col>
          <xdr:colOff>335280</xdr:colOff>
          <xdr:row>15</xdr:row>
          <xdr:rowOff>281940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12</xdr:row>
          <xdr:rowOff>297180</xdr:rowOff>
        </xdr:from>
        <xdr:to>
          <xdr:col>3</xdr:col>
          <xdr:colOff>335280</xdr:colOff>
          <xdr:row>13</xdr:row>
          <xdr:rowOff>243840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</xdr:row>
          <xdr:rowOff>30480</xdr:rowOff>
        </xdr:from>
        <xdr:to>
          <xdr:col>3</xdr:col>
          <xdr:colOff>335280</xdr:colOff>
          <xdr:row>15</xdr:row>
          <xdr:rowOff>281940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12</xdr:row>
          <xdr:rowOff>297180</xdr:rowOff>
        </xdr:from>
        <xdr:to>
          <xdr:col>4</xdr:col>
          <xdr:colOff>335280</xdr:colOff>
          <xdr:row>13</xdr:row>
          <xdr:rowOff>243840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15</xdr:row>
          <xdr:rowOff>30480</xdr:rowOff>
        </xdr:from>
        <xdr:to>
          <xdr:col>4</xdr:col>
          <xdr:colOff>335280</xdr:colOff>
          <xdr:row>15</xdr:row>
          <xdr:rowOff>281940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297180</xdr:rowOff>
        </xdr:from>
        <xdr:to>
          <xdr:col>6</xdr:col>
          <xdr:colOff>327660</xdr:colOff>
          <xdr:row>13</xdr:row>
          <xdr:rowOff>243840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30480</xdr:rowOff>
        </xdr:from>
        <xdr:to>
          <xdr:col>6</xdr:col>
          <xdr:colOff>327660</xdr:colOff>
          <xdr:row>15</xdr:row>
          <xdr:rowOff>281940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297180</xdr:rowOff>
        </xdr:from>
        <xdr:to>
          <xdr:col>7</xdr:col>
          <xdr:colOff>327660</xdr:colOff>
          <xdr:row>13</xdr:row>
          <xdr:rowOff>243840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30480</xdr:rowOff>
        </xdr:from>
        <xdr:to>
          <xdr:col>7</xdr:col>
          <xdr:colOff>327660</xdr:colOff>
          <xdr:row>15</xdr:row>
          <xdr:rowOff>281940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6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12</xdr:row>
          <xdr:rowOff>297180</xdr:rowOff>
        </xdr:from>
        <xdr:to>
          <xdr:col>5</xdr:col>
          <xdr:colOff>342900</xdr:colOff>
          <xdr:row>13</xdr:row>
          <xdr:rowOff>243840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6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15</xdr:row>
          <xdr:rowOff>30480</xdr:rowOff>
        </xdr:from>
        <xdr:to>
          <xdr:col>5</xdr:col>
          <xdr:colOff>342900</xdr:colOff>
          <xdr:row>15</xdr:row>
          <xdr:rowOff>281940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6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21</xdr:row>
      <xdr:rowOff>74295</xdr:rowOff>
    </xdr:from>
    <xdr:to>
      <xdr:col>7</xdr:col>
      <xdr:colOff>1295399</xdr:colOff>
      <xdr:row>41</xdr:row>
      <xdr:rowOff>137160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25</xdr:row>
          <xdr:rowOff>45720</xdr:rowOff>
        </xdr:from>
        <xdr:to>
          <xdr:col>3</xdr:col>
          <xdr:colOff>15240</xdr:colOff>
          <xdr:row>26</xdr:row>
          <xdr:rowOff>30480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8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裝潢費可貸款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25</xdr:row>
          <xdr:rowOff>22860</xdr:rowOff>
        </xdr:from>
        <xdr:to>
          <xdr:col>4</xdr:col>
          <xdr:colOff>53340</xdr:colOff>
          <xdr:row>26</xdr:row>
          <xdr:rowOff>7620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8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裝潢費可貸款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B9968D-CF1F-4578-8A2F-4CBF3B5CB849}" name="資產配置1b" displayName="資產配置1b" ref="B6:E13" totalsRowShown="0" headerRowDxfId="57">
  <autoFilter ref="B6:E13" xr:uid="{BEB9968D-CF1F-4578-8A2F-4CBF3B5CB849}">
    <filterColumn colId="0" hiddenButton="1"/>
    <filterColumn colId="1" hiddenButton="1"/>
    <filterColumn colId="2" hiddenButton="1"/>
    <filterColumn colId="3" hiddenButton="1"/>
  </autoFilter>
  <tableColumns count="4">
    <tableColumn id="1" xr3:uid="{7EDDD0AE-3ED2-4F17-A5AD-320FC12F8E0C}" name="投資項目" dataDxfId="56" dataCellStyle="百分比"/>
    <tableColumn id="2" xr3:uid="{93875FFB-4104-4E5D-BA34-4EF9BBB75073}" name="金額" dataDxfId="55" dataCellStyle="千分位"/>
    <tableColumn id="3" xr3:uid="{9A638EB2-87BE-4652-B989-C22526CB3637}" name="百分比" dataDxfId="54" dataCellStyle="百分比">
      <calculatedColumnFormula>資產配置1b[[#This Row],[金額]]/$C$4</calculatedColumnFormula>
    </tableColumn>
    <tableColumn id="4" xr3:uid="{A68152C1-A235-4915-A130-58BFA6862E7D}" name="報酬率" dataDxfId="53" dataCellStyle="百分比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60136F-9865-41E7-9BC4-88A36A1AAF8D}" name="資產配置1a" displayName="資產配置1a" ref="J6:M13" totalsRowShown="0" headerRowDxfId="52">
  <autoFilter ref="J6:M13" xr:uid="{E260136F-9865-41E7-9BC4-88A36A1AAF8D}">
    <filterColumn colId="0" hiddenButton="1"/>
    <filterColumn colId="1" hiddenButton="1"/>
    <filterColumn colId="2" hiddenButton="1"/>
    <filterColumn colId="3" hiddenButton="1"/>
  </autoFilter>
  <tableColumns count="4">
    <tableColumn id="1" xr3:uid="{2C42A6D6-F7B7-40C9-BC1C-1571F5035D3D}" name="投資項目" dataDxfId="51" dataCellStyle="百分比"/>
    <tableColumn id="2" xr3:uid="{71906FB4-9140-45B9-AB73-2B6BAA01E0C0}" name="金額" dataDxfId="50" dataCellStyle="千分位"/>
    <tableColumn id="3" xr3:uid="{18202536-7574-4704-9820-98CE290AFACD}" name="百分比" dataDxfId="49" dataCellStyle="百分比">
      <calculatedColumnFormula>資產配置1a[[#This Row],[金額]]/$C$4</calculatedColumnFormula>
    </tableColumn>
    <tableColumn id="4" xr3:uid="{4D6C145F-6059-4DFB-A576-C5950CFA7B1E}" name="報酬率" dataDxfId="48" dataCellStyle="百分比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D2D56C-23FC-4F02-858B-D1C66808439D}" name="資產配置2b" displayName="資產配置2b" ref="B50:E57" totalsRowShown="0" headerRowDxfId="47">
  <autoFilter ref="B50:E57" xr:uid="{7BD2D56C-23FC-4F02-858B-D1C66808439D}">
    <filterColumn colId="0" hiddenButton="1"/>
    <filterColumn colId="1" hiddenButton="1"/>
    <filterColumn colId="2" hiddenButton="1"/>
    <filterColumn colId="3" hiddenButton="1"/>
  </autoFilter>
  <tableColumns count="4">
    <tableColumn id="1" xr3:uid="{0086CD9A-D781-4AB3-A241-AC6FB7D27D94}" name="投資項目" dataDxfId="46" dataCellStyle="百分比"/>
    <tableColumn id="2" xr3:uid="{0874F5F9-6096-4664-9C51-1594D8D0D587}" name="金額" dataDxfId="45" dataCellStyle="千分位"/>
    <tableColumn id="3" xr3:uid="{ABEB77C4-522F-4AC0-8607-D381B9564E34}" name="百分比" dataDxfId="44" dataCellStyle="百分比">
      <calculatedColumnFormula>資產配置2b[[#This Row],[金額]]/$C$4</calculatedColumnFormula>
    </tableColumn>
    <tableColumn id="4" xr3:uid="{BF151681-B35A-46CB-9A9E-3BE5D88D20E5}" name="報酬率" dataDxfId="43" dataCellStyle="百分比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489D51-F5A1-4E4B-AC39-1527B3E8CC65}" name="資產配置2a" displayName="資產配置2a" ref="J50:M57" totalsRowShown="0" headerRowDxfId="42" headerRowBorderDxfId="41" tableBorderDxfId="40" totalsRowBorderDxfId="39">
  <autoFilter ref="J50:M57" xr:uid="{A2489D51-F5A1-4E4B-AC39-1527B3E8CC65}">
    <filterColumn colId="0" hiddenButton="1"/>
    <filterColumn colId="1" hiddenButton="1"/>
    <filterColumn colId="2" hiddenButton="1"/>
    <filterColumn colId="3" hiddenButton="1"/>
  </autoFilter>
  <tableColumns count="4">
    <tableColumn id="1" xr3:uid="{65677B8E-EB89-4FC6-ACFC-727F40E8F477}" name="投資項目" dataDxfId="38" dataCellStyle="百分比"/>
    <tableColumn id="2" xr3:uid="{E5EF874C-2850-4F8E-97F1-FDE282230280}" name="金額" dataDxfId="37" dataCellStyle="千分位"/>
    <tableColumn id="3" xr3:uid="{F6958AC5-9432-4B5C-86D2-0584B285D301}" name="百分比" dataDxfId="36" dataCellStyle="百分比">
      <calculatedColumnFormula>資產配置2a[[#This Row],[金額]]/$C$4</calculatedColumnFormula>
    </tableColumn>
    <tableColumn id="4" xr3:uid="{BC8FD477-EB94-4CF5-837B-54DA814BDC5C}" name="報酬率" dataDxfId="35" dataCellStyle="百分比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9CAFAE-498B-4F6C-A25C-297A2FBC0DD2}" name="資產配置3b" displayName="資產配置3b" ref="B95:E102" totalsRowShown="0" headerRowDxfId="34">
  <autoFilter ref="B95:E102" xr:uid="{5F9CAFAE-498B-4F6C-A25C-297A2FBC0DD2}">
    <filterColumn colId="0" hiddenButton="1"/>
    <filterColumn colId="1" hiddenButton="1"/>
    <filterColumn colId="2" hiddenButton="1"/>
    <filterColumn colId="3" hiddenButton="1"/>
  </autoFilter>
  <tableColumns count="4">
    <tableColumn id="1" xr3:uid="{45A5979A-2678-4DD2-A555-2113EACA965A}" name="投資項目" dataDxfId="33" dataCellStyle="百分比"/>
    <tableColumn id="2" xr3:uid="{F3296755-E35D-408C-B352-DAFDCE7B741E}" name="金額" dataDxfId="32" dataCellStyle="千分位"/>
    <tableColumn id="3" xr3:uid="{BE2C06B4-44A3-4C7A-8F54-E160034BE6CE}" name="百分比" dataDxfId="31" dataCellStyle="百分比">
      <calculatedColumnFormula>資產配置3b[[#This Row],[金額]]/$C$4</calculatedColumnFormula>
    </tableColumn>
    <tableColumn id="4" xr3:uid="{0EB12940-43CC-4D44-A54F-7416952D7CE9}" name="報酬率" dataDxfId="30" dataCellStyle="百分比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0EAD80-120F-471E-B92E-89B83AAE68D1}" name="資產配置3a" displayName="資產配置3a" ref="J95:M102" totalsRowShown="0" headerRowDxfId="29">
  <autoFilter ref="J95:M102" xr:uid="{500EAD80-120F-471E-B92E-89B83AAE68D1}">
    <filterColumn colId="0" hiddenButton="1"/>
    <filterColumn colId="1" hiddenButton="1"/>
    <filterColumn colId="2" hiddenButton="1"/>
    <filterColumn colId="3" hiddenButton="1"/>
  </autoFilter>
  <tableColumns count="4">
    <tableColumn id="1" xr3:uid="{E8152926-FC0C-4B24-A175-8571405BC2ED}" name="投資項目" dataDxfId="28" dataCellStyle="百分比"/>
    <tableColumn id="2" xr3:uid="{0FE96ADC-E04B-4A92-9414-74E4DB656623}" name="金額" dataDxfId="27" dataCellStyle="千分位"/>
    <tableColumn id="3" xr3:uid="{1CFABF99-34C6-47E6-A71E-D831E23C48C2}" name="百分比" dataDxfId="26" dataCellStyle="百分比">
      <calculatedColumnFormula>資產配置3a[[#This Row],[金額]]/$C$4</calculatedColumnFormula>
    </tableColumn>
    <tableColumn id="4" xr3:uid="{BEEE6656-0751-4DA5-BE3F-53FF6A5473CB}" name="報酬率" dataDxfId="25" dataCellStyle="百分比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AFF62A-E058-4C7C-B6EE-99F5B13024E8}" name="子女教育1" displayName="子女教育1" ref="A3:H9" totalsRowShown="0">
  <autoFilter ref="A3:H9" xr:uid="{B5AFF62A-E058-4C7C-B6EE-99F5B13024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C75E923-F2E5-4344-B4FD-31F7825D7D8A}" name="機構"/>
    <tableColumn id="2" xr3:uid="{AA381902-F0E8-4E10-99B7-2132885666E1}" name="教育學程"/>
    <tableColumn id="3" xr3:uid="{9C19CA6F-563D-49D9-9E4C-25AF9F138BA4}" name="費用_x000a_月/學期/年" dataDxfId="24" dataCellStyle="千分位"/>
    <tableColumn id="8" xr3:uid="{68BBF1E8-FE5D-48C0-9E2B-ACD5432C70D6}" name="每年期數" dataDxfId="23" dataCellStyle="千分位"/>
    <tableColumn id="9" xr3:uid="{E98FCF59-6B45-42E4-8D04-43ABF4E34C3E}" name="就讀時間" dataDxfId="22">
      <calculatedColumnFormula>VLOOKUP(子女教育1[[#This Row],[教育學程]],就讀時間[[學程]:[就讀時間1]],2,FALSE)</calculatedColumnFormula>
    </tableColumn>
    <tableColumn id="5" xr3:uid="{85C9262D-CEA6-44B7-82E2-57015D39E31E}" name="距離時間" dataDxfId="21">
      <calculatedColumnFormula>VLOOKUP(子女教育1[[#This Row],[教育學程]],距離時間[[學程]:[距離時間1]],2,FALSE)</calculatedColumnFormula>
    </tableColumn>
    <tableColumn id="6" xr3:uid="{8223F956-145E-495B-9CAD-FC19E6AD23A7}" name="CPI" dataDxfId="20" dataCellStyle="百分比"/>
    <tableColumn id="7" xr3:uid="{B1478D3E-F860-4118-8D84-64A1BB4A478A}" name="試算學費" dataDxfId="19" dataCellStyle="千分位">
      <calculatedColumnFormula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384DCB-25AB-4EE8-938F-F0AD6FB35530}" name="就讀時間" displayName="就讀時間" ref="M3:O11" totalsRowShown="0">
  <autoFilter ref="M3:O11" xr:uid="{52384DCB-25AB-4EE8-938F-F0AD6FB35530}">
    <filterColumn colId="0" hiddenButton="1"/>
    <filterColumn colId="1" hiddenButton="1"/>
    <filterColumn colId="2" hiddenButton="1"/>
  </autoFilter>
  <tableColumns count="3">
    <tableColumn id="1" xr3:uid="{5F9B911C-FA24-453E-A229-DC4DF0A82138}" name="學程" dataDxfId="18"/>
    <tableColumn id="2" xr3:uid="{216EB59D-8538-463E-94E0-38C96971CE3B}" name="就讀時間1" dataDxfId="17"/>
    <tableColumn id="3" xr3:uid="{9AF272DE-7D07-4FC9-8E69-9BB679ED131C}" name="就讀時間2" dataDxfId="16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CDE994-B62A-46C1-979A-FF3150CA6724}" name="距離時間" displayName="距離時間" ref="Q3:T31" totalsRowShown="0">
  <autoFilter ref="Q3:T31" xr:uid="{B4CDE994-B62A-46C1-979A-FF3150CA6724}">
    <filterColumn colId="0" hiddenButton="1"/>
    <filterColumn colId="1" hiddenButton="1"/>
    <filterColumn colId="2" hiddenButton="1"/>
    <filterColumn colId="3" hiddenButton="1"/>
  </autoFilter>
  <tableColumns count="4">
    <tableColumn id="1" xr3:uid="{125BEB9F-7440-47CE-82E6-9107EFD823AD}" name="就讀年齡" dataDxfId="15"/>
    <tableColumn id="2" xr3:uid="{6CF70A16-C90F-4AB7-80A4-8612C062C141}" name="學程" dataDxfId="14"/>
    <tableColumn id="3" xr3:uid="{3EB5AD53-F466-49A4-8493-B652ABCFDA89}" name="距離時間1" dataDxfId="13">
      <calculatedColumnFormula>IF($B$2&lt;22,22-$B$2,0)</calculatedColumnFormula>
    </tableColumn>
    <tableColumn id="4" xr3:uid="{4F7F6FC5-9C27-455E-8693-C971560F6D78}" name="距離時間2" dataDxfId="12">
      <calculatedColumnFormula>IF($B$18&lt;6,3-$B$18,0)</calculatedColumnFormula>
    </tableColumn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44F096-C95A-4A6D-A0B8-03D2A6504509}" name="子女教育2" displayName="子女教育2" ref="A19:H25" totalsRowShown="0">
  <autoFilter ref="A19:H25" xr:uid="{A244F096-C95A-4A6D-A0B8-03D2A65045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809C2FD-EF58-4440-9EF7-E7D090E8E8B9}" name="機構"/>
    <tableColumn id="2" xr3:uid="{F90ABC04-2BE8-41C7-8306-BAB5C4E42FCB}" name="教育學程"/>
    <tableColumn id="3" xr3:uid="{8F534123-D866-4F16-889C-205A3E515133}" name="費用_x000a_月/學期/年" dataDxfId="11" dataCellStyle="千分位"/>
    <tableColumn id="8" xr3:uid="{5FC5DB51-6352-4696-B26F-E8997DC54303}" name="每年期數" dataDxfId="10" dataCellStyle="千分位"/>
    <tableColumn id="9" xr3:uid="{907914AE-0FCA-4443-B2F5-4D301A555D6A}" name="就讀時間" dataDxfId="9">
      <calculatedColumnFormula>VLOOKUP(子女教育2[[#This Row],[教育學程]],就讀時間[],3,FALSE)</calculatedColumnFormula>
    </tableColumn>
    <tableColumn id="5" xr3:uid="{CD2176FA-5708-4382-91A9-38780AD50DA2}" name="距離時間" dataDxfId="8">
      <calculatedColumnFormula>VLOOKUP(子女教育2[[#This Row],[教育學程]],距離時間[[學程]:[距離時間2]],3,FALSE)</calculatedColumnFormula>
    </tableColumn>
    <tableColumn id="6" xr3:uid="{2D08AB86-0658-4301-AE81-91A331CA099B}" name="CPI" dataDxfId="7" dataCellStyle="百分比"/>
    <tableColumn id="7" xr3:uid="{F88EAD6B-3D39-4564-B567-F7939C4369D8}" name="試算學費" dataDxfId="6" dataCellStyle="千分位">
      <calculatedColumnFormula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8FCA-FF7F-45F0-965E-B74630D918CC}">
  <dimension ref="A1:K70"/>
  <sheetViews>
    <sheetView showGridLines="0" tabSelected="1" topLeftCell="A20" zoomScaleNormal="100" workbookViewId="0">
      <selection activeCell="A7" sqref="A7"/>
    </sheetView>
  </sheetViews>
  <sheetFormatPr defaultRowHeight="13.8" x14ac:dyDescent="0.3"/>
  <cols>
    <col min="1" max="1" width="11.58203125" style="1" customWidth="1"/>
    <col min="2" max="2" width="8.83203125" style="1" customWidth="1"/>
    <col min="3" max="3" width="10.58203125" style="1" customWidth="1"/>
    <col min="4" max="4" width="7.58203125" style="1" customWidth="1"/>
    <col min="5" max="5" width="11.58203125" style="1" customWidth="1"/>
    <col min="6" max="6" width="8.83203125" style="1" customWidth="1"/>
    <col min="7" max="7" width="10.58203125" style="1" customWidth="1"/>
    <col min="8" max="8" width="7.58203125" style="1" customWidth="1"/>
    <col min="9" max="16384" width="8.6640625" style="1"/>
  </cols>
  <sheetData>
    <row r="1" spans="1:11" ht="25.2" customHeight="1" thickBot="1" x14ac:dyDescent="0.35">
      <c r="A1" s="685" t="s">
        <v>0</v>
      </c>
      <c r="B1" s="686"/>
      <c r="C1" s="686"/>
      <c r="D1" s="686"/>
      <c r="E1" s="686"/>
      <c r="F1" s="686"/>
      <c r="G1" s="686"/>
      <c r="H1" s="687"/>
    </row>
    <row r="2" spans="1:11" ht="16.95" customHeight="1" thickTop="1" thickBot="1" x14ac:dyDescent="0.35">
      <c r="A2" s="399" t="s">
        <v>71</v>
      </c>
      <c r="B2" s="400" t="s">
        <v>66</v>
      </c>
      <c r="C2" s="400" t="s">
        <v>67</v>
      </c>
      <c r="D2" s="401" t="s">
        <v>1</v>
      </c>
      <c r="E2" s="485" t="s">
        <v>72</v>
      </c>
      <c r="F2" s="486" t="s">
        <v>66</v>
      </c>
      <c r="G2" s="486" t="s">
        <v>67</v>
      </c>
      <c r="H2" s="487" t="s">
        <v>1</v>
      </c>
    </row>
    <row r="3" spans="1:11" ht="16.95" customHeight="1" thickTop="1" x14ac:dyDescent="0.3">
      <c r="A3" s="79" t="s">
        <v>73</v>
      </c>
      <c r="B3" s="675">
        <v>135000</v>
      </c>
      <c r="C3" s="675">
        <f>SUM(C4:C9)</f>
        <v>400000</v>
      </c>
      <c r="D3" s="77">
        <f t="shared" ref="D3:D21" si="0">(B3*12+C3)/$C$23</f>
        <v>1</v>
      </c>
      <c r="E3" s="488" t="s">
        <v>77</v>
      </c>
      <c r="F3" s="489">
        <v>25000</v>
      </c>
      <c r="G3" s="489"/>
      <c r="H3" s="490">
        <f t="shared" ref="H3:H38" si="1">(F3*12+G3)/$G$44</f>
        <v>0.19851773425092642</v>
      </c>
    </row>
    <row r="4" spans="1:11" ht="16.95" customHeight="1" x14ac:dyDescent="0.3">
      <c r="A4" s="80" t="s">
        <v>2</v>
      </c>
      <c r="B4" s="2">
        <v>120000</v>
      </c>
      <c r="C4" s="45"/>
      <c r="D4" s="71">
        <f t="shared" si="0"/>
        <v>0.71287128712871284</v>
      </c>
      <c r="E4" s="64" t="s">
        <v>78</v>
      </c>
      <c r="F4" s="491">
        <v>2000</v>
      </c>
      <c r="G4" s="492"/>
      <c r="H4" s="493">
        <f t="shared" si="1"/>
        <v>1.5881418740074114E-2</v>
      </c>
      <c r="K4" s="7"/>
    </row>
    <row r="5" spans="1:11" ht="16.95" customHeight="1" x14ac:dyDescent="0.3">
      <c r="A5" s="80" t="s">
        <v>245</v>
      </c>
      <c r="B5" s="2"/>
      <c r="C5" s="45">
        <v>400000</v>
      </c>
      <c r="D5" s="71">
        <f t="shared" si="0"/>
        <v>0.19801980198019803</v>
      </c>
      <c r="E5" s="494" t="s">
        <v>79</v>
      </c>
      <c r="F5" s="495">
        <f>SUM(F6:F12)</f>
        <v>60850</v>
      </c>
      <c r="G5" s="495"/>
      <c r="H5" s="496">
        <f t="shared" si="1"/>
        <v>0.48319216516675489</v>
      </c>
    </row>
    <row r="6" spans="1:11" ht="16.95" customHeight="1" x14ac:dyDescent="0.3">
      <c r="A6" s="80" t="s">
        <v>365</v>
      </c>
      <c r="B6" s="2"/>
      <c r="C6" s="45"/>
      <c r="D6" s="71">
        <f t="shared" si="0"/>
        <v>0</v>
      </c>
      <c r="E6" s="54" t="s">
        <v>353</v>
      </c>
      <c r="F6" s="6">
        <v>55000</v>
      </c>
      <c r="G6" s="6"/>
      <c r="H6" s="81">
        <f t="shared" si="1"/>
        <v>0.43673901535203813</v>
      </c>
    </row>
    <row r="7" spans="1:11" ht="16.95" customHeight="1" x14ac:dyDescent="0.3">
      <c r="A7" s="80" t="s">
        <v>366</v>
      </c>
      <c r="B7" s="2"/>
      <c r="C7" s="45"/>
      <c r="D7" s="71">
        <f t="shared" si="0"/>
        <v>0</v>
      </c>
      <c r="E7" s="53" t="s">
        <v>349</v>
      </c>
      <c r="F7" s="2">
        <v>2500</v>
      </c>
      <c r="G7" s="2"/>
      <c r="H7" s="82">
        <f t="shared" si="1"/>
        <v>1.9851773425092641E-2</v>
      </c>
    </row>
    <row r="8" spans="1:11" ht="16.95" customHeight="1" x14ac:dyDescent="0.3">
      <c r="A8" s="80"/>
      <c r="B8" s="2"/>
      <c r="C8" s="45"/>
      <c r="D8" s="71">
        <f t="shared" si="0"/>
        <v>0</v>
      </c>
      <c r="E8" s="53" t="s">
        <v>350</v>
      </c>
      <c r="F8" s="2">
        <v>1000</v>
      </c>
      <c r="G8" s="2"/>
      <c r="H8" s="82">
        <f t="shared" si="1"/>
        <v>7.9407093700370572E-3</v>
      </c>
    </row>
    <row r="9" spans="1:11" ht="16.95" customHeight="1" x14ac:dyDescent="0.3">
      <c r="A9" s="83"/>
      <c r="B9" s="5"/>
      <c r="C9" s="57"/>
      <c r="D9" s="72">
        <f t="shared" si="0"/>
        <v>0</v>
      </c>
      <c r="E9" s="53" t="s">
        <v>351</v>
      </c>
      <c r="F9" s="2">
        <v>2350</v>
      </c>
      <c r="G9" s="2"/>
      <c r="H9" s="82">
        <f t="shared" si="1"/>
        <v>1.8660667019587084E-2</v>
      </c>
    </row>
    <row r="10" spans="1:11" ht="16.95" customHeight="1" x14ac:dyDescent="0.3">
      <c r="A10" s="84" t="s">
        <v>74</v>
      </c>
      <c r="B10" s="58">
        <f>SUM(B11:B17)</f>
        <v>0</v>
      </c>
      <c r="C10" s="58">
        <f>SUM(C11:C17)</f>
        <v>0</v>
      </c>
      <c r="D10" s="73">
        <f t="shared" si="0"/>
        <v>0</v>
      </c>
      <c r="E10" s="53" t="s">
        <v>354</v>
      </c>
      <c r="F10" s="2"/>
      <c r="G10" s="2">
        <v>35000</v>
      </c>
      <c r="H10" s="82">
        <f t="shared" si="1"/>
        <v>2.316040232927475E-2</v>
      </c>
    </row>
    <row r="11" spans="1:11" ht="16.95" customHeight="1" x14ac:dyDescent="0.3">
      <c r="A11" s="85" t="s">
        <v>68</v>
      </c>
      <c r="B11" s="6"/>
      <c r="C11" s="6"/>
      <c r="D11" s="74">
        <f t="shared" si="0"/>
        <v>0</v>
      </c>
      <c r="E11" s="53" t="s">
        <v>355</v>
      </c>
      <c r="F11" s="2"/>
      <c r="G11" s="2">
        <v>2500</v>
      </c>
      <c r="H11" s="616">
        <f t="shared" si="1"/>
        <v>1.6543144520910534E-3</v>
      </c>
    </row>
    <row r="12" spans="1:11" ht="16.95" customHeight="1" x14ac:dyDescent="0.3">
      <c r="A12" s="80" t="s">
        <v>69</v>
      </c>
      <c r="B12" s="2"/>
      <c r="C12" s="2"/>
      <c r="D12" s="71">
        <f t="shared" si="0"/>
        <v>0</v>
      </c>
      <c r="E12" s="53"/>
      <c r="F12" s="2"/>
      <c r="G12" s="2"/>
      <c r="H12" s="616">
        <f t="shared" si="1"/>
        <v>0</v>
      </c>
      <c r="J12" s="8"/>
    </row>
    <row r="13" spans="1:11" ht="16.95" customHeight="1" x14ac:dyDescent="0.3">
      <c r="A13" s="80" t="s">
        <v>70</v>
      </c>
      <c r="B13" s="2"/>
      <c r="C13" s="2"/>
      <c r="D13" s="71">
        <f t="shared" si="0"/>
        <v>0</v>
      </c>
      <c r="E13" s="65" t="s">
        <v>80</v>
      </c>
      <c r="F13" s="56">
        <f>SUM(F14:F18)</f>
        <v>2500</v>
      </c>
      <c r="G13" s="56">
        <f>SUM(G14:G18)</f>
        <v>35000</v>
      </c>
      <c r="H13" s="87">
        <f t="shared" si="1"/>
        <v>4.3012175754367388E-2</v>
      </c>
      <c r="J13" s="8"/>
    </row>
    <row r="14" spans="1:11" ht="16.95" customHeight="1" x14ac:dyDescent="0.3">
      <c r="A14" s="80"/>
      <c r="B14" s="2"/>
      <c r="C14" s="2"/>
      <c r="D14" s="71">
        <f t="shared" si="0"/>
        <v>0</v>
      </c>
      <c r="E14" s="54" t="s">
        <v>3</v>
      </c>
      <c r="F14" s="6">
        <v>2500</v>
      </c>
      <c r="G14" s="6"/>
      <c r="H14" s="81">
        <f t="shared" si="1"/>
        <v>1.9851773425092641E-2</v>
      </c>
    </row>
    <row r="15" spans="1:11" ht="16.95" customHeight="1" x14ac:dyDescent="0.3">
      <c r="A15" s="80"/>
      <c r="B15" s="2"/>
      <c r="C15" s="2"/>
      <c r="D15" s="71">
        <f t="shared" si="0"/>
        <v>0</v>
      </c>
      <c r="E15" s="53" t="s">
        <v>336</v>
      </c>
      <c r="F15" s="2"/>
      <c r="G15" s="2">
        <v>35000</v>
      </c>
      <c r="H15" s="82">
        <f t="shared" si="1"/>
        <v>2.316040232927475E-2</v>
      </c>
    </row>
    <row r="16" spans="1:11" ht="16.95" customHeight="1" x14ac:dyDescent="0.3">
      <c r="A16" s="80" t="s">
        <v>63</v>
      </c>
      <c r="B16" s="2"/>
      <c r="C16" s="2"/>
      <c r="D16" s="71">
        <f t="shared" si="0"/>
        <v>0</v>
      </c>
      <c r="E16" s="53" t="s">
        <v>373</v>
      </c>
      <c r="F16" s="2"/>
      <c r="G16" s="2"/>
      <c r="H16" s="82">
        <f t="shared" si="1"/>
        <v>0</v>
      </c>
    </row>
    <row r="17" spans="1:11" ht="16.95" customHeight="1" x14ac:dyDescent="0.3">
      <c r="A17" s="88"/>
      <c r="B17" s="69"/>
      <c r="C17" s="69"/>
      <c r="D17" s="104">
        <f t="shared" si="0"/>
        <v>0</v>
      </c>
      <c r="E17" s="53" t="s">
        <v>374</v>
      </c>
      <c r="F17" s="2"/>
      <c r="G17" s="2"/>
      <c r="H17" s="82">
        <f t="shared" si="1"/>
        <v>0</v>
      </c>
    </row>
    <row r="18" spans="1:11" ht="16.95" customHeight="1" x14ac:dyDescent="0.3">
      <c r="A18" s="84" t="s">
        <v>75</v>
      </c>
      <c r="B18" s="676">
        <f>SUM(B19:B21)</f>
        <v>0</v>
      </c>
      <c r="C18" s="676">
        <f>SUM(C19:C21)</f>
        <v>0</v>
      </c>
      <c r="D18" s="73">
        <f t="shared" si="0"/>
        <v>0</v>
      </c>
      <c r="E18" s="53"/>
      <c r="F18" s="2"/>
      <c r="G18" s="2"/>
      <c r="H18" s="82">
        <f t="shared" si="1"/>
        <v>0</v>
      </c>
    </row>
    <row r="19" spans="1:11" ht="16.95" customHeight="1" x14ac:dyDescent="0.3">
      <c r="A19" s="85" t="s">
        <v>4</v>
      </c>
      <c r="B19" s="6"/>
      <c r="C19" s="6"/>
      <c r="D19" s="76">
        <f t="shared" si="0"/>
        <v>0</v>
      </c>
      <c r="E19" s="64" t="s">
        <v>81</v>
      </c>
      <c r="F19" s="491">
        <v>1000</v>
      </c>
      <c r="G19" s="56"/>
      <c r="H19" s="493">
        <f t="shared" si="1"/>
        <v>7.9407093700370572E-3</v>
      </c>
    </row>
    <row r="20" spans="1:11" ht="16.95" customHeight="1" x14ac:dyDescent="0.3">
      <c r="A20" s="80"/>
      <c r="B20" s="2"/>
      <c r="C20" s="2"/>
      <c r="D20" s="71">
        <f t="shared" si="0"/>
        <v>0</v>
      </c>
      <c r="E20" s="64" t="s">
        <v>82</v>
      </c>
      <c r="F20" s="56">
        <f>SUM(F21:F24)</f>
        <v>4500</v>
      </c>
      <c r="G20" s="56">
        <f>SUM(G21:G24)</f>
        <v>0</v>
      </c>
      <c r="H20" s="90">
        <f t="shared" si="1"/>
        <v>3.5733192165166752E-2</v>
      </c>
    </row>
    <row r="21" spans="1:11" ht="16.95" customHeight="1" thickBot="1" x14ac:dyDescent="0.35">
      <c r="A21" s="89" t="s">
        <v>63</v>
      </c>
      <c r="B21" s="63"/>
      <c r="C21" s="63"/>
      <c r="D21" s="75">
        <f t="shared" si="0"/>
        <v>0</v>
      </c>
      <c r="E21" s="54" t="s">
        <v>76</v>
      </c>
      <c r="F21" s="6">
        <v>1500</v>
      </c>
      <c r="G21" s="6"/>
      <c r="H21" s="81">
        <f t="shared" si="1"/>
        <v>1.1911064055055586E-2</v>
      </c>
      <c r="J21" s="8"/>
    </row>
    <row r="22" spans="1:11" ht="16.95" customHeight="1" thickTop="1" x14ac:dyDescent="0.3">
      <c r="A22" s="414"/>
      <c r="B22" s="408">
        <f>SUM(B3,B10,B18)</f>
        <v>135000</v>
      </c>
      <c r="C22" s="408">
        <f>SUM(C3,C10,C18)</f>
        <v>400000</v>
      </c>
      <c r="D22" s="402"/>
      <c r="E22" s="53" t="s">
        <v>352</v>
      </c>
      <c r="F22" s="2">
        <v>3000</v>
      </c>
      <c r="G22" s="2"/>
      <c r="H22" s="82">
        <f t="shared" si="1"/>
        <v>2.3822128110111172E-2</v>
      </c>
    </row>
    <row r="23" spans="1:11" ht="16.95" customHeight="1" thickBot="1" x14ac:dyDescent="0.35">
      <c r="A23" s="410" t="s">
        <v>5</v>
      </c>
      <c r="B23" s="411"/>
      <c r="C23" s="412">
        <f>SUM(B3,B10,B18)*12+SUM(C3,C10,C18)</f>
        <v>2020000</v>
      </c>
      <c r="D23" s="413">
        <f>SUM(D3,D10,D18)</f>
        <v>1</v>
      </c>
      <c r="E23" s="53" t="s">
        <v>375</v>
      </c>
      <c r="F23" s="2"/>
      <c r="G23" s="2"/>
      <c r="H23" s="82">
        <f t="shared" si="1"/>
        <v>0</v>
      </c>
      <c r="K23" s="394"/>
    </row>
    <row r="24" spans="1:11" ht="16.95" customHeight="1" thickTop="1" x14ac:dyDescent="0.3">
      <c r="A24" s="688"/>
      <c r="B24" s="689"/>
      <c r="C24" s="689"/>
      <c r="D24" s="690"/>
      <c r="E24" s="53" t="s">
        <v>376</v>
      </c>
      <c r="F24" s="46"/>
      <c r="G24" s="46"/>
      <c r="H24" s="93">
        <f t="shared" si="1"/>
        <v>0</v>
      </c>
      <c r="K24" s="394"/>
    </row>
    <row r="25" spans="1:11" ht="16.95" customHeight="1" x14ac:dyDescent="0.3">
      <c r="A25" s="91"/>
      <c r="B25" s="47"/>
      <c r="C25" s="47"/>
      <c r="D25" s="59"/>
      <c r="E25" s="64" t="s">
        <v>83</v>
      </c>
      <c r="F25" s="56">
        <f>SUM(F26:F28)</f>
        <v>0</v>
      </c>
      <c r="G25" s="56">
        <f>SUM(G26:G28)</f>
        <v>125000</v>
      </c>
      <c r="H25" s="493">
        <f t="shared" si="1"/>
        <v>8.2715722604552677E-2</v>
      </c>
    </row>
    <row r="26" spans="1:11" ht="16.95" customHeight="1" x14ac:dyDescent="0.3">
      <c r="A26" s="91"/>
      <c r="B26" s="47"/>
      <c r="C26" s="47"/>
      <c r="D26" s="59"/>
      <c r="E26" s="54" t="s">
        <v>7</v>
      </c>
      <c r="F26" s="6"/>
      <c r="G26" s="6">
        <v>125000</v>
      </c>
      <c r="H26" s="81">
        <f t="shared" si="1"/>
        <v>8.2715722604552677E-2</v>
      </c>
    </row>
    <row r="27" spans="1:11" ht="16.95" customHeight="1" x14ac:dyDescent="0.3">
      <c r="A27" s="691" t="s">
        <v>91</v>
      </c>
      <c r="B27" s="692"/>
      <c r="C27" s="692"/>
      <c r="D27" s="693"/>
      <c r="E27" s="53"/>
      <c r="F27" s="2"/>
      <c r="G27" s="2"/>
      <c r="H27" s="82">
        <f t="shared" si="1"/>
        <v>0</v>
      </c>
      <c r="J27" s="8"/>
    </row>
    <row r="28" spans="1:11" ht="16.95" customHeight="1" x14ac:dyDescent="0.3">
      <c r="A28" s="92" t="s">
        <v>64</v>
      </c>
      <c r="B28" s="78">
        <f>SUM(B3,B10,B18)-SUM(F3:F5,F13,F19:F20,F25,F29:F30,F34,F41)</f>
        <v>26150</v>
      </c>
      <c r="C28" s="48"/>
      <c r="D28" s="60"/>
      <c r="E28" s="55"/>
      <c r="F28" s="46"/>
      <c r="G28" s="46"/>
      <c r="H28" s="617">
        <f t="shared" si="1"/>
        <v>0</v>
      </c>
    </row>
    <row r="29" spans="1:11" ht="16.95" customHeight="1" x14ac:dyDescent="0.3">
      <c r="A29" s="92" t="s">
        <v>65</v>
      </c>
      <c r="B29" s="78">
        <f>C23-G44</f>
        <v>508800</v>
      </c>
      <c r="C29" s="49"/>
      <c r="D29" s="61"/>
      <c r="E29" s="64" t="s">
        <v>84</v>
      </c>
      <c r="F29" s="56"/>
      <c r="G29" s="56">
        <v>45000</v>
      </c>
      <c r="H29" s="493">
        <f t="shared" si="1"/>
        <v>2.9777660137638964E-2</v>
      </c>
    </row>
    <row r="30" spans="1:11" ht="16.95" customHeight="1" x14ac:dyDescent="0.3">
      <c r="A30" s="92" t="s">
        <v>6</v>
      </c>
      <c r="B30" s="78">
        <f>B29/12</f>
        <v>42400</v>
      </c>
      <c r="C30" s="49"/>
      <c r="D30" s="61"/>
      <c r="E30" s="64" t="s">
        <v>85</v>
      </c>
      <c r="F30" s="56">
        <f>SUM(F31:F33)</f>
        <v>13000</v>
      </c>
      <c r="G30" s="56">
        <f>SUM(G31:G33)</f>
        <v>0</v>
      </c>
      <c r="H30" s="87">
        <f t="shared" si="1"/>
        <v>0.10322922181048173</v>
      </c>
    </row>
    <row r="31" spans="1:11" ht="16.95" customHeight="1" x14ac:dyDescent="0.3">
      <c r="A31" s="319"/>
      <c r="B31" s="320"/>
      <c r="C31" s="320"/>
      <c r="D31" s="321"/>
      <c r="E31" s="54" t="s">
        <v>88</v>
      </c>
      <c r="F31" s="6">
        <v>13000</v>
      </c>
      <c r="G31" s="6"/>
      <c r="H31" s="81">
        <f t="shared" si="1"/>
        <v>0.10322922181048173</v>
      </c>
      <c r="J31" s="8"/>
    </row>
    <row r="32" spans="1:11" ht="16.95" customHeight="1" x14ac:dyDescent="0.3">
      <c r="A32" s="94" t="s">
        <v>8</v>
      </c>
      <c r="B32" s="50" t="s">
        <v>9</v>
      </c>
      <c r="C32" s="51"/>
      <c r="D32" s="62"/>
      <c r="E32" s="53" t="s">
        <v>377</v>
      </c>
      <c r="F32" s="2"/>
      <c r="G32" s="2"/>
      <c r="H32" s="82">
        <f t="shared" si="1"/>
        <v>0</v>
      </c>
    </row>
    <row r="33" spans="1:10" ht="16.95" customHeight="1" x14ac:dyDescent="0.3">
      <c r="A33" s="417" t="s">
        <v>92</v>
      </c>
      <c r="B33" s="418">
        <f>(B3*12+C3)/C23</f>
        <v>1</v>
      </c>
      <c r="C33" s="49"/>
      <c r="D33" s="61"/>
      <c r="E33" s="55"/>
      <c r="F33" s="46"/>
      <c r="G33" s="46"/>
      <c r="H33" s="86">
        <f t="shared" si="1"/>
        <v>0</v>
      </c>
    </row>
    <row r="34" spans="1:10" ht="16.95" customHeight="1" x14ac:dyDescent="0.3">
      <c r="A34" s="417" t="s">
        <v>93</v>
      </c>
      <c r="B34" s="418">
        <f>(B10*12+C10)/C23</f>
        <v>0</v>
      </c>
      <c r="C34" s="49"/>
      <c r="D34" s="61"/>
      <c r="E34" s="64" t="s">
        <v>86</v>
      </c>
      <c r="F34" s="56">
        <f>SUM(F35:F38)</f>
        <v>0</v>
      </c>
      <c r="G34" s="56">
        <f>SUM(G35:G38)</f>
        <v>0</v>
      </c>
      <c r="H34" s="87">
        <f t="shared" si="1"/>
        <v>0</v>
      </c>
    </row>
    <row r="35" spans="1:10" ht="16.95" customHeight="1" x14ac:dyDescent="0.3">
      <c r="A35" s="417" t="s">
        <v>94</v>
      </c>
      <c r="B35" s="418">
        <f>(B18*12+C18)/C23</f>
        <v>0</v>
      </c>
      <c r="C35" s="49"/>
      <c r="D35" s="61"/>
      <c r="E35" s="54" t="s">
        <v>89</v>
      </c>
      <c r="F35" s="6"/>
      <c r="G35" s="6"/>
      <c r="H35" s="81">
        <f t="shared" si="1"/>
        <v>0</v>
      </c>
    </row>
    <row r="36" spans="1:10" ht="16.95" customHeight="1" x14ac:dyDescent="0.3">
      <c r="A36" s="319"/>
      <c r="B36" s="320"/>
      <c r="C36" s="320"/>
      <c r="D36" s="321"/>
      <c r="E36" s="53" t="s">
        <v>90</v>
      </c>
      <c r="F36" s="2"/>
      <c r="G36" s="2"/>
      <c r="H36" s="82">
        <f t="shared" si="1"/>
        <v>0</v>
      </c>
    </row>
    <row r="37" spans="1:10" ht="16.95" customHeight="1" x14ac:dyDescent="0.3">
      <c r="A37" s="94" t="s">
        <v>10</v>
      </c>
      <c r="B37" s="52" t="s">
        <v>11</v>
      </c>
      <c r="C37" s="51"/>
      <c r="D37" s="62"/>
      <c r="E37" s="68" t="s">
        <v>378</v>
      </c>
      <c r="F37" s="2"/>
      <c r="G37" s="2"/>
      <c r="H37" s="616">
        <f t="shared" si="1"/>
        <v>0</v>
      </c>
    </row>
    <row r="38" spans="1:10" ht="16.95" customHeight="1" thickBot="1" x14ac:dyDescent="0.35">
      <c r="A38" s="417" t="s">
        <v>95</v>
      </c>
      <c r="B38" s="419">
        <f>G44/C23</f>
        <v>0.74811881188118812</v>
      </c>
      <c r="C38" s="49"/>
      <c r="D38" s="61"/>
      <c r="E38" s="397"/>
      <c r="F38" s="70"/>
      <c r="G38" s="70"/>
      <c r="H38" s="618">
        <f t="shared" si="1"/>
        <v>0</v>
      </c>
    </row>
    <row r="39" spans="1:10" ht="16.95" customHeight="1" thickTop="1" x14ac:dyDescent="0.3">
      <c r="A39" s="417" t="s">
        <v>96</v>
      </c>
      <c r="B39" s="419">
        <f>(F25*12+G25)/C23</f>
        <v>6.1881188118811881E-2</v>
      </c>
      <c r="C39" s="49"/>
      <c r="D39" s="61"/>
      <c r="E39" s="407"/>
      <c r="F39" s="408">
        <f>SUM(F3:F5,F13,F19:F20,F25,F29:F30,F34)</f>
        <v>108850</v>
      </c>
      <c r="G39" s="408">
        <f>SUM(G3:G5,G13,G19:G20,G25,G29:G30,G34)</f>
        <v>205000</v>
      </c>
      <c r="H39" s="415"/>
    </row>
    <row r="40" spans="1:10" ht="16.95" customHeight="1" thickBot="1" x14ac:dyDescent="0.35">
      <c r="A40" s="417" t="s">
        <v>97</v>
      </c>
      <c r="B40" s="419">
        <f>(F29*12+G29)/C23</f>
        <v>2.2277227722772276E-2</v>
      </c>
      <c r="C40" s="49"/>
      <c r="D40" s="61"/>
      <c r="E40" s="409" t="s">
        <v>268</v>
      </c>
      <c r="F40" s="420">
        <f>F39*12+G39</f>
        <v>1511200</v>
      </c>
      <c r="G40" s="406">
        <f>SUM(F3:F5,F13,F19:F20,F25,F29:F30,F34)*12+SUM(G3:G5,G13,G19:G20,G25,G29:G30,G34)</f>
        <v>1511200</v>
      </c>
      <c r="H40" s="405">
        <f>G40/G44</f>
        <v>1</v>
      </c>
    </row>
    <row r="41" spans="1:10" ht="16.95" customHeight="1" thickTop="1" x14ac:dyDescent="0.3">
      <c r="A41" s="417" t="s">
        <v>98</v>
      </c>
      <c r="B41" s="419">
        <f>(F30*12+G30)/C23</f>
        <v>7.7227722772277227E-2</v>
      </c>
      <c r="C41" s="49"/>
      <c r="D41" s="61"/>
      <c r="E41" s="66" t="s">
        <v>87</v>
      </c>
      <c r="F41" s="4">
        <f>F42</f>
        <v>0</v>
      </c>
      <c r="G41" s="4">
        <f>G42</f>
        <v>0</v>
      </c>
      <c r="H41" s="95">
        <f>(F41*12+G41)/$G$44</f>
        <v>0</v>
      </c>
    </row>
    <row r="42" spans="1:10" ht="16.95" customHeight="1" thickBot="1" x14ac:dyDescent="0.35">
      <c r="A42" s="417" t="s">
        <v>99</v>
      </c>
      <c r="B42" s="419">
        <f>(F34*12+G34)/C23</f>
        <v>0</v>
      </c>
      <c r="C42" s="49"/>
      <c r="D42" s="61"/>
      <c r="E42" s="398"/>
      <c r="F42" s="63"/>
      <c r="G42" s="63"/>
      <c r="H42" s="97">
        <f>(F42*12+G42)/$G$44</f>
        <v>0</v>
      </c>
      <c r="J42" s="8"/>
    </row>
    <row r="43" spans="1:10" ht="16.95" customHeight="1" thickTop="1" x14ac:dyDescent="0.3">
      <c r="A43" s="96"/>
      <c r="B43" s="67"/>
      <c r="C43" s="49"/>
      <c r="D43" s="61"/>
      <c r="E43" s="404"/>
      <c r="F43" s="396"/>
      <c r="G43" s="396"/>
      <c r="H43" s="415"/>
      <c r="J43" s="8"/>
    </row>
    <row r="44" spans="1:10" ht="16.95" customHeight="1" thickBot="1" x14ac:dyDescent="0.35">
      <c r="A44" s="98"/>
      <c r="B44" s="99"/>
      <c r="C44" s="100"/>
      <c r="D44" s="101"/>
      <c r="E44" s="102" t="s">
        <v>12</v>
      </c>
      <c r="F44" s="416"/>
      <c r="G44" s="403">
        <f>F41*12+G41+G40</f>
        <v>1511200</v>
      </c>
      <c r="H44" s="103">
        <f>H40+H41</f>
        <v>1</v>
      </c>
    </row>
    <row r="45" spans="1:10" ht="16.95" customHeight="1" x14ac:dyDescent="0.3">
      <c r="A45" s="47"/>
      <c r="B45" s="47"/>
      <c r="C45" s="47"/>
    </row>
    <row r="46" spans="1:10" x14ac:dyDescent="0.3">
      <c r="A46" s="621" t="s">
        <v>338</v>
      </c>
      <c r="B46" s="619"/>
      <c r="C46" s="619"/>
      <c r="D46" s="619"/>
      <c r="E46" s="619"/>
      <c r="F46" s="619"/>
      <c r="G46" s="619"/>
      <c r="H46" s="620"/>
    </row>
    <row r="47" spans="1:10" x14ac:dyDescent="0.3">
      <c r="A47" s="622"/>
      <c r="B47" s="623"/>
      <c r="C47" s="623"/>
      <c r="D47" s="623"/>
      <c r="E47" s="623"/>
      <c r="F47" s="623"/>
      <c r="G47" s="623"/>
      <c r="H47" s="624"/>
    </row>
    <row r="48" spans="1:10" x14ac:dyDescent="0.3">
      <c r="A48" s="622"/>
      <c r="B48" s="623"/>
      <c r="C48" s="623"/>
      <c r="D48" s="623"/>
      <c r="E48" s="623"/>
      <c r="F48" s="623"/>
      <c r="G48" s="623"/>
      <c r="H48" s="624"/>
    </row>
    <row r="49" spans="1:8" x14ac:dyDescent="0.3">
      <c r="A49" s="622"/>
      <c r="B49" s="623"/>
      <c r="C49" s="623"/>
      <c r="D49" s="623"/>
      <c r="E49" s="623"/>
      <c r="F49" s="623"/>
      <c r="G49" s="623"/>
      <c r="H49" s="624"/>
    </row>
    <row r="50" spans="1:8" x14ac:dyDescent="0.3">
      <c r="A50" s="622"/>
      <c r="B50" s="623"/>
      <c r="C50" s="623"/>
      <c r="D50" s="623"/>
      <c r="E50" s="623"/>
      <c r="F50" s="623"/>
      <c r="G50" s="623"/>
      <c r="H50" s="624"/>
    </row>
    <row r="51" spans="1:8" x14ac:dyDescent="0.3">
      <c r="A51" s="622"/>
      <c r="B51" s="623"/>
      <c r="C51" s="623"/>
      <c r="D51" s="623"/>
      <c r="E51" s="623"/>
      <c r="F51" s="623"/>
      <c r="G51" s="623"/>
      <c r="H51" s="624"/>
    </row>
    <row r="52" spans="1:8" x14ac:dyDescent="0.3">
      <c r="A52" s="622"/>
      <c r="B52" s="623"/>
      <c r="C52" s="623"/>
      <c r="D52" s="623"/>
      <c r="E52" s="623"/>
      <c r="F52" s="623"/>
      <c r="G52" s="623"/>
      <c r="H52" s="624"/>
    </row>
    <row r="53" spans="1:8" x14ac:dyDescent="0.3">
      <c r="A53" s="622"/>
      <c r="B53" s="623"/>
      <c r="C53" s="623"/>
      <c r="D53" s="623"/>
      <c r="E53" s="623"/>
      <c r="F53" s="623"/>
      <c r="G53" s="623"/>
      <c r="H53" s="624"/>
    </row>
    <row r="54" spans="1:8" x14ac:dyDescent="0.3">
      <c r="A54" s="622"/>
      <c r="B54" s="623"/>
      <c r="C54" s="623"/>
      <c r="D54" s="623"/>
      <c r="E54" s="623"/>
      <c r="F54" s="623"/>
      <c r="G54" s="623"/>
      <c r="H54" s="624"/>
    </row>
    <row r="55" spans="1:8" x14ac:dyDescent="0.3">
      <c r="A55" s="622"/>
      <c r="B55" s="623"/>
      <c r="C55" s="623"/>
      <c r="D55" s="623"/>
      <c r="E55" s="623"/>
      <c r="F55" s="623"/>
      <c r="G55" s="623"/>
      <c r="H55" s="624"/>
    </row>
    <row r="56" spans="1:8" x14ac:dyDescent="0.3">
      <c r="A56" s="622"/>
      <c r="B56" s="623"/>
      <c r="C56" s="623"/>
      <c r="D56" s="623"/>
      <c r="E56" s="623"/>
      <c r="F56" s="623"/>
      <c r="G56" s="623"/>
      <c r="H56" s="624"/>
    </row>
    <row r="57" spans="1:8" x14ac:dyDescent="0.3">
      <c r="A57" s="622"/>
      <c r="B57" s="623"/>
      <c r="C57" s="623"/>
      <c r="D57" s="623"/>
      <c r="E57" s="623"/>
      <c r="F57" s="623"/>
      <c r="G57" s="623"/>
      <c r="H57" s="624"/>
    </row>
    <row r="58" spans="1:8" x14ac:dyDescent="0.3">
      <c r="A58" s="622"/>
      <c r="B58" s="623"/>
      <c r="C58" s="623"/>
      <c r="D58" s="623"/>
      <c r="E58" s="623"/>
      <c r="F58" s="623"/>
      <c r="G58" s="623"/>
      <c r="H58" s="624"/>
    </row>
    <row r="59" spans="1:8" x14ac:dyDescent="0.3">
      <c r="A59" s="622"/>
      <c r="B59" s="623"/>
      <c r="C59" s="623"/>
      <c r="D59" s="623"/>
      <c r="E59" s="623"/>
      <c r="F59" s="623"/>
      <c r="G59" s="623"/>
      <c r="H59" s="624"/>
    </row>
    <row r="60" spans="1:8" x14ac:dyDescent="0.3">
      <c r="A60" s="622"/>
      <c r="B60" s="623"/>
      <c r="C60" s="623"/>
      <c r="D60" s="623"/>
      <c r="E60" s="623"/>
      <c r="F60" s="623"/>
      <c r="G60" s="623"/>
      <c r="H60" s="624"/>
    </row>
    <row r="61" spans="1:8" x14ac:dyDescent="0.3">
      <c r="A61" s="622"/>
      <c r="B61" s="623"/>
      <c r="C61" s="623"/>
      <c r="D61" s="623"/>
      <c r="E61" s="623"/>
      <c r="F61" s="623"/>
      <c r="G61" s="623"/>
      <c r="H61" s="624"/>
    </row>
    <row r="62" spans="1:8" x14ac:dyDescent="0.3">
      <c r="A62" s="633"/>
      <c r="B62" s="47"/>
      <c r="C62" s="47"/>
      <c r="D62" s="47"/>
      <c r="E62" s="47"/>
      <c r="F62" s="47"/>
      <c r="G62" s="47"/>
      <c r="H62" s="634"/>
    </row>
    <row r="63" spans="1:8" x14ac:dyDescent="0.3">
      <c r="A63" s="633"/>
      <c r="B63" s="47"/>
      <c r="C63" s="47"/>
      <c r="D63" s="47"/>
      <c r="E63" s="47"/>
      <c r="F63" s="47"/>
      <c r="G63" s="47"/>
      <c r="H63" s="634"/>
    </row>
    <row r="64" spans="1:8" x14ac:dyDescent="0.3">
      <c r="A64" s="633"/>
      <c r="B64" s="47"/>
      <c r="C64" s="47"/>
      <c r="D64" s="47"/>
      <c r="E64" s="47"/>
      <c r="F64" s="47"/>
      <c r="G64" s="47"/>
      <c r="H64" s="634"/>
    </row>
    <row r="65" spans="1:8" x14ac:dyDescent="0.3">
      <c r="A65" s="633"/>
      <c r="B65" s="47"/>
      <c r="C65" s="47"/>
      <c r="D65" s="47"/>
      <c r="E65" s="47"/>
      <c r="F65" s="47"/>
      <c r="G65" s="47"/>
      <c r="H65" s="634"/>
    </row>
    <row r="66" spans="1:8" x14ac:dyDescent="0.3">
      <c r="A66" s="633"/>
      <c r="B66" s="47"/>
      <c r="C66" s="47"/>
      <c r="D66" s="47"/>
      <c r="E66" s="47"/>
      <c r="F66" s="47"/>
      <c r="G66" s="47"/>
      <c r="H66" s="634"/>
    </row>
    <row r="67" spans="1:8" x14ac:dyDescent="0.3">
      <c r="A67" s="633"/>
      <c r="B67" s="47"/>
      <c r="C67" s="47"/>
      <c r="D67" s="47"/>
      <c r="E67" s="47"/>
      <c r="F67" s="47"/>
      <c r="G67" s="47"/>
      <c r="H67" s="634"/>
    </row>
    <row r="68" spans="1:8" x14ac:dyDescent="0.3">
      <c r="A68" s="633"/>
      <c r="B68" s="47"/>
      <c r="C68" s="47"/>
      <c r="D68" s="47"/>
      <c r="E68" s="47"/>
      <c r="F68" s="47"/>
      <c r="G68" s="47"/>
      <c r="H68" s="634"/>
    </row>
    <row r="69" spans="1:8" x14ac:dyDescent="0.3">
      <c r="A69" s="633"/>
      <c r="B69" s="47"/>
      <c r="C69" s="47"/>
      <c r="D69" s="47"/>
      <c r="E69" s="47"/>
      <c r="F69" s="47"/>
      <c r="G69" s="47"/>
      <c r="H69" s="634"/>
    </row>
    <row r="70" spans="1:8" x14ac:dyDescent="0.3">
      <c r="A70" s="635"/>
      <c r="B70" s="636"/>
      <c r="C70" s="636"/>
      <c r="D70" s="636"/>
      <c r="E70" s="636"/>
      <c r="F70" s="636"/>
      <c r="G70" s="636"/>
      <c r="H70" s="637"/>
    </row>
  </sheetData>
  <mergeCells count="3">
    <mergeCell ref="A1:H1"/>
    <mergeCell ref="A24:D24"/>
    <mergeCell ref="A27:D27"/>
  </mergeCells>
  <phoneticPr fontId="6" type="noConversion"/>
  <dataValidations count="10">
    <dataValidation type="list" allowBlank="1" showInputMessage="1" sqref="A4:A9" xr:uid="{7F2B8CEB-5042-412E-9AFD-1B55F7858477}">
      <formula1>"薪資,獎金,年終獎金,佣金,　"</formula1>
    </dataValidation>
    <dataValidation type="list" allowBlank="1" showInputMessage="1" sqref="A11:A16" xr:uid="{4747B3A8-0202-43EC-B61E-6FDF4DA8C666}">
      <formula1>"存款利息,租金收入,現金股利,基金配息,保險滿期金,　"</formula1>
    </dataValidation>
    <dataValidation type="list" allowBlank="1" showInputMessage="1" sqref="A19:A21" xr:uid="{2F7A69AB-3218-4134-8476-CC17753A9CA6}">
      <formula1>"退休金,撫恤金,　"</formula1>
    </dataValidation>
    <dataValidation type="list" allowBlank="1" showInputMessage="1" sqref="E31:E32" xr:uid="{EB868699-A556-41AE-A9B5-E7A7BDFBB92C}">
      <formula1>"信貸,車貸,　"</formula1>
    </dataValidation>
    <dataValidation type="list" allowBlank="1" showInputMessage="1" sqref="E6:E12" xr:uid="{22A9A9CA-BB0E-4B4C-B720-EEBDBC190DC0}">
      <formula1>"房租,房貸,水電瓦斯,收視／網路,管理費,房屋／地價稅,火災地震險,　"</formula1>
    </dataValidation>
    <dataValidation type="list" allowBlank="1" showInputMessage="1" sqref="E21:E24" xr:uid="{08A5DFA0-A82D-49B3-A4F8-A347779AB0AC}">
      <formula1>"餐敘聚會,休閒旅遊,影視娛樂,公關送禮,　"</formula1>
    </dataValidation>
    <dataValidation type="list" allowBlank="1" showInputMessage="1" sqref="E35:E38" xr:uid="{460F3473-59F0-45E5-A464-5A122130D07C}">
      <formula1>"基金定投,投資型保單,存股,　"</formula1>
    </dataValidation>
    <dataValidation type="list" allowBlank="1" showInputMessage="1" sqref="E26:E28" xr:uid="{1B2A890C-6AE1-4C56-92E1-05E5507647E9}">
      <formula1>"人壽保險,勞工保險,　"</formula1>
    </dataValidation>
    <dataValidation type="list" allowBlank="1" showInputMessage="1" sqref="E14:E18" xr:uid="{5311CB48-ADDC-435F-9F9E-B803207463BD}">
      <formula1>"油料費,停車費,保養費,通行費,車險,牌照／燃料稅,　"</formula1>
    </dataValidation>
    <dataValidation type="list" allowBlank="1" showInputMessage="1" sqref="E42" xr:uid="{32E054EE-E272-4C9A-BDC8-872C4868C2AE}">
      <formula1>"子女教育金"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portrait" horizontalDpi="1200" verticalDpi="1200" r:id="rId1"/>
  <ignoredErrors>
    <ignoredError sqref="G25 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AD1E-09FC-42A4-9F1C-3E219C8FE828}">
  <dimension ref="A1:R42"/>
  <sheetViews>
    <sheetView showGridLines="0" topLeftCell="G1" workbookViewId="0">
      <selection activeCell="J16" sqref="J16"/>
    </sheetView>
  </sheetViews>
  <sheetFormatPr defaultRowHeight="13.2" x14ac:dyDescent="0.3"/>
  <cols>
    <col min="1" max="6" width="15.9140625" style="9" hidden="1" customWidth="1"/>
    <col min="7" max="7" width="18.58203125" style="9" customWidth="1"/>
    <col min="8" max="8" width="12.1640625" style="9" customWidth="1"/>
    <col min="9" max="9" width="6.58203125" style="9" customWidth="1"/>
    <col min="10" max="10" width="18.58203125" style="9" customWidth="1"/>
    <col min="11" max="11" width="10.33203125" style="9" customWidth="1"/>
    <col min="12" max="12" width="6.58203125" style="9" customWidth="1"/>
    <col min="13" max="16384" width="8.6640625" style="9"/>
  </cols>
  <sheetData>
    <row r="1" spans="7:15" ht="18.600000000000001" thickBot="1" x14ac:dyDescent="0.35">
      <c r="G1" s="386" t="s">
        <v>13</v>
      </c>
      <c r="H1" s="387"/>
      <c r="I1" s="387"/>
      <c r="J1" s="387"/>
      <c r="K1" s="387"/>
      <c r="L1" s="388"/>
    </row>
    <row r="2" spans="7:15" ht="18" customHeight="1" x14ac:dyDescent="0.3">
      <c r="G2" s="105" t="s">
        <v>100</v>
      </c>
      <c r="H2" s="514">
        <f>H42</f>
        <v>30620000</v>
      </c>
      <c r="I2" s="10"/>
      <c r="J2" s="106" t="s">
        <v>101</v>
      </c>
      <c r="K2" s="513">
        <f>K19</f>
        <v>11812000</v>
      </c>
      <c r="L2" s="11"/>
    </row>
    <row r="3" spans="7:15" ht="18" customHeight="1" thickBot="1" x14ac:dyDescent="0.35">
      <c r="G3" s="12" t="s">
        <v>14</v>
      </c>
      <c r="H3" s="13" t="s">
        <v>15</v>
      </c>
      <c r="I3" s="14" t="s">
        <v>16</v>
      </c>
      <c r="J3" s="15" t="s">
        <v>14</v>
      </c>
      <c r="K3" s="13" t="s">
        <v>15</v>
      </c>
      <c r="L3" s="16" t="s">
        <v>16</v>
      </c>
    </row>
    <row r="4" spans="7:15" ht="18" customHeight="1" thickTop="1" x14ac:dyDescent="0.3">
      <c r="G4" s="17" t="s">
        <v>17</v>
      </c>
      <c r="H4" s="107">
        <f>SUM(H5:H11)</f>
        <v>3220000</v>
      </c>
      <c r="I4" s="345">
        <f>SUM(I5:I11)</f>
        <v>0.10516002612671457</v>
      </c>
      <c r="J4" s="18" t="s">
        <v>18</v>
      </c>
      <c r="K4" s="389">
        <f>SUM(K5:K11)</f>
        <v>1062000</v>
      </c>
      <c r="L4" s="353">
        <f>SUM(L5:L11)</f>
        <v>8.990856755841517E-2</v>
      </c>
    </row>
    <row r="5" spans="7:15" ht="18" customHeight="1" x14ac:dyDescent="0.3">
      <c r="G5" s="108" t="s">
        <v>102</v>
      </c>
      <c r="H5" s="2">
        <v>500000</v>
      </c>
      <c r="I5" s="346">
        <f>H5/$H$42</f>
        <v>1.6329196603527107E-2</v>
      </c>
      <c r="J5" s="364" t="s">
        <v>259</v>
      </c>
      <c r="K5" s="378">
        <v>1000000</v>
      </c>
      <c r="L5" s="354">
        <f>K5/$K$19</f>
        <v>8.4659668134100918E-2</v>
      </c>
    </row>
    <row r="6" spans="7:15" ht="18" customHeight="1" x14ac:dyDescent="0.3">
      <c r="G6" s="108" t="s">
        <v>103</v>
      </c>
      <c r="H6" s="2">
        <v>2000000</v>
      </c>
      <c r="I6" s="346">
        <f t="shared" ref="I6:I11" si="0">H6/$H$42</f>
        <v>6.531678641410843E-2</v>
      </c>
      <c r="J6" s="364" t="s">
        <v>260</v>
      </c>
      <c r="K6" s="378">
        <v>50000</v>
      </c>
      <c r="L6" s="354">
        <f t="shared" ref="L6:L11" si="1">K6/$K$19</f>
        <v>4.2329834067050456E-3</v>
      </c>
    </row>
    <row r="7" spans="7:15" ht="18" customHeight="1" x14ac:dyDescent="0.3">
      <c r="G7" s="108" t="s">
        <v>104</v>
      </c>
      <c r="H7" s="2">
        <v>600000</v>
      </c>
      <c r="I7" s="346">
        <f t="shared" si="0"/>
        <v>1.9595035924232528E-2</v>
      </c>
      <c r="J7" s="364" t="s">
        <v>260</v>
      </c>
      <c r="K7" s="378">
        <v>12000</v>
      </c>
      <c r="L7" s="354">
        <f t="shared" si="1"/>
        <v>1.0159160176092109E-3</v>
      </c>
    </row>
    <row r="8" spans="7:15" ht="18" customHeight="1" x14ac:dyDescent="0.3">
      <c r="G8" s="108" t="s">
        <v>103</v>
      </c>
      <c r="H8" s="2">
        <v>120000</v>
      </c>
      <c r="I8" s="346">
        <f t="shared" si="0"/>
        <v>3.9190071848465057E-3</v>
      </c>
      <c r="J8" s="364" t="s">
        <v>379</v>
      </c>
      <c r="K8" s="378"/>
      <c r="L8" s="354">
        <f t="shared" si="1"/>
        <v>0</v>
      </c>
      <c r="O8" s="681">
        <f>PMT(2.3%/12,7*12,-1000000)</f>
        <v>12900.179921959845</v>
      </c>
    </row>
    <row r="9" spans="7:15" ht="18" customHeight="1" x14ac:dyDescent="0.3">
      <c r="G9" s="108"/>
      <c r="H9" s="2"/>
      <c r="I9" s="346">
        <f t="shared" si="0"/>
        <v>0</v>
      </c>
      <c r="J9" s="364"/>
      <c r="K9" s="378"/>
      <c r="L9" s="354">
        <f t="shared" si="1"/>
        <v>0</v>
      </c>
    </row>
    <row r="10" spans="7:15" ht="18" customHeight="1" x14ac:dyDescent="0.3">
      <c r="G10" s="108"/>
      <c r="H10" s="2"/>
      <c r="I10" s="350">
        <f t="shared" si="0"/>
        <v>0</v>
      </c>
      <c r="J10" s="368"/>
      <c r="K10" s="379"/>
      <c r="L10" s="355">
        <f t="shared" si="1"/>
        <v>0</v>
      </c>
    </row>
    <row r="11" spans="7:15" ht="18" customHeight="1" thickBot="1" x14ac:dyDescent="0.35">
      <c r="G11" s="363"/>
      <c r="H11" s="374"/>
      <c r="I11" s="393">
        <f t="shared" si="0"/>
        <v>0</v>
      </c>
      <c r="J11" s="369"/>
      <c r="K11" s="381"/>
      <c r="L11" s="356">
        <f t="shared" si="1"/>
        <v>0</v>
      </c>
    </row>
    <row r="12" spans="7:15" ht="18" customHeight="1" thickTop="1" x14ac:dyDescent="0.3">
      <c r="G12" s="17" t="s">
        <v>269</v>
      </c>
      <c r="H12" s="107">
        <f>SUM(H13:H18)</f>
        <v>1500000</v>
      </c>
      <c r="I12" s="345">
        <f>SUM(I13:I18)</f>
        <v>4.8987589810581322E-2</v>
      </c>
      <c r="J12" s="18" t="s">
        <v>19</v>
      </c>
      <c r="K12" s="389">
        <f>SUM(K13:K18)</f>
        <v>10750000</v>
      </c>
      <c r="L12" s="353">
        <f>SUM(L13:L18)</f>
        <v>0.91009143244158486</v>
      </c>
    </row>
    <row r="13" spans="7:15" ht="18" customHeight="1" x14ac:dyDescent="0.3">
      <c r="G13" s="108" t="s">
        <v>105</v>
      </c>
      <c r="H13" s="2">
        <v>500000</v>
      </c>
      <c r="I13" s="346">
        <f t="shared" ref="I13:I18" si="2">H13/$H$42</f>
        <v>1.6329196603527107E-2</v>
      </c>
      <c r="J13" s="364" t="s">
        <v>261</v>
      </c>
      <c r="K13" s="378">
        <v>10750000</v>
      </c>
      <c r="L13" s="354">
        <f t="shared" ref="L13:L18" si="3">K13/$K$19</f>
        <v>0.91009143244158486</v>
      </c>
    </row>
    <row r="14" spans="7:15" ht="18" customHeight="1" x14ac:dyDescent="0.3">
      <c r="G14" s="108" t="s">
        <v>106</v>
      </c>
      <c r="H14" s="2">
        <v>1000000</v>
      </c>
      <c r="I14" s="346">
        <f t="shared" si="2"/>
        <v>3.2658393207054215E-2</v>
      </c>
      <c r="J14" s="364" t="s">
        <v>367</v>
      </c>
      <c r="K14" s="378"/>
      <c r="L14" s="354">
        <f t="shared" si="3"/>
        <v>0</v>
      </c>
    </row>
    <row r="15" spans="7:15" ht="18" customHeight="1" x14ac:dyDescent="0.3">
      <c r="G15" s="108" t="s">
        <v>370</v>
      </c>
      <c r="H15" s="2"/>
      <c r="I15" s="346">
        <f t="shared" si="2"/>
        <v>0</v>
      </c>
      <c r="J15" s="364" t="s">
        <v>368</v>
      </c>
      <c r="K15" s="378"/>
      <c r="L15" s="354">
        <f t="shared" si="3"/>
        <v>0</v>
      </c>
    </row>
    <row r="16" spans="7:15" ht="18" customHeight="1" x14ac:dyDescent="0.3">
      <c r="G16" s="108"/>
      <c r="H16" s="2"/>
      <c r="I16" s="346">
        <f t="shared" si="2"/>
        <v>0</v>
      </c>
      <c r="J16" s="365" t="s">
        <v>369</v>
      </c>
      <c r="K16" s="379"/>
      <c r="L16" s="355">
        <f t="shared" si="3"/>
        <v>0</v>
      </c>
    </row>
    <row r="17" spans="7:18" ht="18" customHeight="1" x14ac:dyDescent="0.3">
      <c r="G17" s="108"/>
      <c r="H17" s="2"/>
      <c r="I17" s="346">
        <f t="shared" si="2"/>
        <v>0</v>
      </c>
      <c r="J17" s="366"/>
      <c r="K17" s="377"/>
      <c r="L17" s="357">
        <f t="shared" si="3"/>
        <v>0</v>
      </c>
    </row>
    <row r="18" spans="7:18" ht="18" customHeight="1" x14ac:dyDescent="0.3">
      <c r="G18" s="109"/>
      <c r="H18" s="3"/>
      <c r="I18" s="347">
        <f t="shared" si="2"/>
        <v>0</v>
      </c>
      <c r="J18" s="367"/>
      <c r="K18" s="380"/>
      <c r="L18" s="358">
        <f t="shared" si="3"/>
        <v>0</v>
      </c>
    </row>
    <row r="19" spans="7:18" ht="18" customHeight="1" thickBot="1" x14ac:dyDescent="0.35">
      <c r="G19" s="360" t="s">
        <v>270</v>
      </c>
      <c r="H19" s="392">
        <f>SUM(H4,H12)</f>
        <v>4720000</v>
      </c>
      <c r="I19" s="348">
        <f>SUM(I4,I12)</f>
        <v>0.1541476159372959</v>
      </c>
      <c r="J19" s="343" t="s">
        <v>20</v>
      </c>
      <c r="K19" s="515">
        <f>SUM(K12,K4)</f>
        <v>11812000</v>
      </c>
      <c r="L19" s="390">
        <f>SUM(L4,L12)</f>
        <v>1</v>
      </c>
    </row>
    <row r="20" spans="7:18" ht="18" customHeight="1" thickTop="1" x14ac:dyDescent="0.3">
      <c r="G20" s="17" t="s">
        <v>21</v>
      </c>
      <c r="H20" s="107">
        <f>SUM(H21:H26)</f>
        <v>500000</v>
      </c>
      <c r="I20" s="349">
        <f>SUM(I21:I26)</f>
        <v>1.6329196603527107E-2</v>
      </c>
      <c r="J20" s="373" t="s">
        <v>22</v>
      </c>
      <c r="K20" s="362"/>
      <c r="L20" s="19"/>
    </row>
    <row r="21" spans="7:18" ht="18" customHeight="1" x14ac:dyDescent="0.3">
      <c r="G21" s="108" t="s">
        <v>107</v>
      </c>
      <c r="H21" s="2">
        <v>500000</v>
      </c>
      <c r="I21" s="350">
        <f t="shared" ref="I21:I26" si="4">H21/$H$42</f>
        <v>1.6329196603527107E-2</v>
      </c>
      <c r="J21" s="20" t="s">
        <v>23</v>
      </c>
      <c r="K21" s="362"/>
      <c r="L21" s="359">
        <f>I4</f>
        <v>0.10516002612671457</v>
      </c>
    </row>
    <row r="22" spans="7:18" ht="18" customHeight="1" x14ac:dyDescent="0.3">
      <c r="G22" s="108"/>
      <c r="H22" s="2"/>
      <c r="I22" s="350">
        <f t="shared" si="4"/>
        <v>0</v>
      </c>
      <c r="J22" s="20" t="s">
        <v>24</v>
      </c>
      <c r="K22" s="362"/>
      <c r="L22" s="359">
        <f>I12</f>
        <v>4.8987589810581322E-2</v>
      </c>
    </row>
    <row r="23" spans="7:18" ht="18" customHeight="1" x14ac:dyDescent="0.3">
      <c r="G23" s="108"/>
      <c r="H23" s="2"/>
      <c r="I23" s="350">
        <f t="shared" si="4"/>
        <v>0</v>
      </c>
      <c r="J23" s="22" t="s">
        <v>25</v>
      </c>
      <c r="K23" s="362"/>
      <c r="L23" s="359">
        <f>I20</f>
        <v>1.6329196603527107E-2</v>
      </c>
    </row>
    <row r="24" spans="7:18" ht="18" customHeight="1" x14ac:dyDescent="0.3">
      <c r="G24" s="108"/>
      <c r="H24" s="2"/>
      <c r="I24" s="350">
        <f t="shared" si="4"/>
        <v>0</v>
      </c>
      <c r="J24" s="22" t="s">
        <v>26</v>
      </c>
      <c r="K24" s="362"/>
      <c r="L24" s="359">
        <f>I27</f>
        <v>0.81645983017635537</v>
      </c>
    </row>
    <row r="25" spans="7:18" ht="18" customHeight="1" x14ac:dyDescent="0.3">
      <c r="G25" s="108"/>
      <c r="H25" s="2"/>
      <c r="I25" s="352">
        <f t="shared" si="4"/>
        <v>0</v>
      </c>
      <c r="J25" s="383" t="s">
        <v>264</v>
      </c>
      <c r="K25" s="384"/>
      <c r="L25" s="385">
        <f>I35</f>
        <v>1.3063357282821686E-2</v>
      </c>
    </row>
    <row r="26" spans="7:18" ht="18" customHeight="1" thickBot="1" x14ac:dyDescent="0.35">
      <c r="G26" s="363"/>
      <c r="H26" s="374"/>
      <c r="I26" s="361">
        <f t="shared" si="4"/>
        <v>0</v>
      </c>
      <c r="J26" s="382" t="s">
        <v>265</v>
      </c>
      <c r="K26" s="362"/>
      <c r="L26" s="359">
        <f>SUM(L21:L25)</f>
        <v>1</v>
      </c>
    </row>
    <row r="27" spans="7:18" ht="18" customHeight="1" thickTop="1" x14ac:dyDescent="0.3">
      <c r="G27" s="17" t="s">
        <v>262</v>
      </c>
      <c r="H27" s="344">
        <f>SUM(H28:H34)</f>
        <v>25000000</v>
      </c>
      <c r="I27" s="351">
        <f>SUM(I28:I34)</f>
        <v>0.81645983017635537</v>
      </c>
      <c r="J27" s="372" t="s">
        <v>27</v>
      </c>
      <c r="K27" s="362"/>
      <c r="L27" s="21"/>
      <c r="P27" s="23"/>
    </row>
    <row r="28" spans="7:18" ht="18" customHeight="1" x14ac:dyDescent="0.3">
      <c r="G28" s="108" t="s">
        <v>108</v>
      </c>
      <c r="H28" s="2">
        <v>25000000</v>
      </c>
      <c r="I28" s="352">
        <f t="shared" ref="I28:I34" si="5">H28/$H$42</f>
        <v>0.81645983017635537</v>
      </c>
      <c r="J28" s="22" t="s">
        <v>28</v>
      </c>
      <c r="K28" s="362"/>
      <c r="L28" s="359">
        <f>L4</f>
        <v>8.990856755841517E-2</v>
      </c>
      <c r="P28" s="23"/>
      <c r="R28" s="24"/>
    </row>
    <row r="29" spans="7:18" ht="18" customHeight="1" x14ac:dyDescent="0.3">
      <c r="G29" s="108" t="s">
        <v>371</v>
      </c>
      <c r="H29" s="2"/>
      <c r="I29" s="352">
        <f t="shared" si="5"/>
        <v>0</v>
      </c>
      <c r="J29" s="383" t="s">
        <v>29</v>
      </c>
      <c r="K29" s="384"/>
      <c r="L29" s="385">
        <f>L12</f>
        <v>0.91009143244158486</v>
      </c>
      <c r="P29" s="23"/>
      <c r="R29" s="24"/>
    </row>
    <row r="30" spans="7:18" ht="18" customHeight="1" x14ac:dyDescent="0.3">
      <c r="G30" s="108" t="s">
        <v>372</v>
      </c>
      <c r="H30" s="2"/>
      <c r="I30" s="352">
        <f t="shared" si="5"/>
        <v>0</v>
      </c>
      <c r="J30" s="382" t="s">
        <v>30</v>
      </c>
      <c r="K30" s="362"/>
      <c r="L30" s="359">
        <f>SUM(L28:L29)</f>
        <v>1</v>
      </c>
      <c r="P30" s="23"/>
      <c r="R30" s="24"/>
    </row>
    <row r="31" spans="7:18" ht="18" customHeight="1" x14ac:dyDescent="0.3">
      <c r="G31" s="108"/>
      <c r="H31" s="2"/>
      <c r="I31" s="352">
        <f t="shared" si="5"/>
        <v>0</v>
      </c>
      <c r="J31" s="362"/>
      <c r="K31" s="362"/>
      <c r="L31" s="19"/>
    </row>
    <row r="32" spans="7:18" ht="18" customHeight="1" x14ac:dyDescent="0.3">
      <c r="G32" s="108"/>
      <c r="H32" s="2"/>
      <c r="I32" s="352">
        <f t="shared" si="5"/>
        <v>0</v>
      </c>
      <c r="J32" s="362"/>
      <c r="K32" s="362"/>
      <c r="L32" s="19"/>
    </row>
    <row r="33" spans="7:12" ht="18" customHeight="1" x14ac:dyDescent="0.3">
      <c r="G33" s="370"/>
      <c r="H33" s="375"/>
      <c r="I33" s="376">
        <f>H33/$H$42</f>
        <v>0</v>
      </c>
      <c r="J33" s="362"/>
      <c r="K33" s="362"/>
      <c r="L33" s="19"/>
    </row>
    <row r="34" spans="7:12" ht="18" customHeight="1" thickBot="1" x14ac:dyDescent="0.35">
      <c r="G34" s="363"/>
      <c r="H34" s="374"/>
      <c r="I34" s="361">
        <f t="shared" si="5"/>
        <v>0</v>
      </c>
      <c r="J34" s="25"/>
      <c r="K34" s="362"/>
      <c r="L34" s="19"/>
    </row>
    <row r="35" spans="7:12" ht="18" customHeight="1" thickTop="1" x14ac:dyDescent="0.3">
      <c r="G35" s="17" t="s">
        <v>31</v>
      </c>
      <c r="H35" s="344">
        <f>SUM(H36:H41)</f>
        <v>400000</v>
      </c>
      <c r="I35" s="351">
        <f>SUM(I36:I41)</f>
        <v>1.3063357282821686E-2</v>
      </c>
      <c r="J35" s="25"/>
      <c r="K35" s="362"/>
      <c r="L35" s="19"/>
    </row>
    <row r="36" spans="7:12" ht="18" customHeight="1" x14ac:dyDescent="0.3">
      <c r="G36" s="108" t="s">
        <v>263</v>
      </c>
      <c r="H36" s="2">
        <v>250000</v>
      </c>
      <c r="I36" s="352">
        <f t="shared" ref="I36:I41" si="6">H36/$H$42</f>
        <v>8.1645983017635537E-3</v>
      </c>
      <c r="J36" s="25"/>
      <c r="K36" s="362"/>
      <c r="L36" s="19"/>
    </row>
    <row r="37" spans="7:12" ht="18" customHeight="1" x14ac:dyDescent="0.3">
      <c r="G37" s="371" t="s">
        <v>109</v>
      </c>
      <c r="H37" s="2">
        <v>100000</v>
      </c>
      <c r="I37" s="352">
        <f t="shared" si="6"/>
        <v>3.2658393207054214E-3</v>
      </c>
      <c r="J37" s="25"/>
      <c r="K37" s="362"/>
      <c r="L37" s="19"/>
    </row>
    <row r="38" spans="7:12" ht="18" customHeight="1" x14ac:dyDescent="0.3">
      <c r="G38" s="108" t="s">
        <v>110</v>
      </c>
      <c r="H38" s="2">
        <v>50000</v>
      </c>
      <c r="I38" s="352">
        <f t="shared" si="6"/>
        <v>1.6329196603527107E-3</v>
      </c>
      <c r="J38" s="25"/>
      <c r="K38" s="362"/>
      <c r="L38" s="19"/>
    </row>
    <row r="39" spans="7:12" ht="18" customHeight="1" x14ac:dyDescent="0.3">
      <c r="G39" s="108"/>
      <c r="H39" s="2"/>
      <c r="I39" s="352">
        <f t="shared" si="6"/>
        <v>0</v>
      </c>
      <c r="J39" s="25"/>
      <c r="K39" s="362"/>
      <c r="L39" s="19"/>
    </row>
    <row r="40" spans="7:12" ht="18" customHeight="1" x14ac:dyDescent="0.3">
      <c r="G40" s="108"/>
      <c r="H40" s="2"/>
      <c r="I40" s="352">
        <f t="shared" si="6"/>
        <v>0</v>
      </c>
      <c r="J40" s="25"/>
      <c r="K40" s="362"/>
      <c r="L40" s="19"/>
    </row>
    <row r="41" spans="7:12" ht="18" customHeight="1" thickBot="1" x14ac:dyDescent="0.35">
      <c r="G41" s="363"/>
      <c r="H41" s="374"/>
      <c r="I41" s="361">
        <f t="shared" si="6"/>
        <v>0</v>
      </c>
      <c r="J41" s="25"/>
      <c r="K41" s="362"/>
      <c r="L41" s="19"/>
    </row>
    <row r="42" spans="7:12" ht="18" customHeight="1" thickTop="1" thickBot="1" x14ac:dyDescent="0.35">
      <c r="G42" s="26" t="s">
        <v>32</v>
      </c>
      <c r="H42" s="516">
        <f>SUM(H4,H12,H20,H27,H35)</f>
        <v>30620000</v>
      </c>
      <c r="I42" s="391">
        <f>SUM(I4,I12,I20,I27,I35)</f>
        <v>1</v>
      </c>
      <c r="J42" s="27"/>
      <c r="K42" s="28"/>
      <c r="L42" s="29"/>
    </row>
  </sheetData>
  <phoneticPr fontId="6" type="noConversion"/>
  <dataValidations count="7">
    <dataValidation type="list" allowBlank="1" showInputMessage="1" sqref="G5:G11" xr:uid="{EBE70A5A-FE28-46B6-B929-1B121AE835F8}">
      <formula1>"台幣活存,外幣活存,保單現金價值,　"</formula1>
    </dataValidation>
    <dataValidation type="list" allowBlank="1" showInputMessage="1" sqref="G21:G26" xr:uid="{5806A720-35D4-4906-B30C-0375B1D9D90A}">
      <formula1>"事業股份,股票(未上市櫃),　"</formula1>
    </dataValidation>
    <dataValidation type="list" allowBlank="1" showInputMessage="1" sqref="G28:G34" xr:uid="{925D2E6D-F78C-4ED3-8795-24537B282688}">
      <formula1>"自用住宅,投資住宅,辦公室,廠房,　"</formula1>
    </dataValidation>
    <dataValidation type="list" allowBlank="1" showInputMessage="1" sqref="G36:G41" xr:uid="{B31D9B0F-EF34-43E2-A2B6-5D2C80168C83}">
      <formula1>"汽車(折舊後),黃金,珠寶,古董,字畫,　"</formula1>
    </dataValidation>
    <dataValidation type="list" allowBlank="1" showInputMessage="1" sqref="J5:J11" xr:uid="{AD0B8F24-0A5E-42F3-B3EE-5DA12FA65B53}">
      <formula1>"小額信貸,消費分期,信用卡分期,保單貸款,　"</formula1>
    </dataValidation>
    <dataValidation type="list" allowBlank="1" showInputMessage="1" sqref="J13:J18" xr:uid="{D2BE504E-A350-4D1A-8863-42BF5F02F768}">
      <formula1>"自用住宅房貸,自用住宅抵押貸款,投資住宅房貸,投資住宅抵押貸款,車貸,　"</formula1>
    </dataValidation>
    <dataValidation type="list" allowBlank="1" showInputMessage="1" sqref="G13:G18" xr:uid="{9D630ACE-E01F-429A-B18F-D815F18FE599}">
      <formula1>"股票(上市櫃),共同基金,短期票券,債券,期貨,　"</formula1>
    </dataValidation>
  </dataValidations>
  <pageMargins left="0.39370078740157483" right="0.39370078740157483" top="0.59055118110236227" bottom="0.19685039370078741" header="0.31496062992125984" footer="0.31496062992125984"/>
  <pageSetup paperSize="9" orientation="portrait" horizontalDpi="1200" verticalDpi="1200" r:id="rId1"/>
  <ignoredErrors>
    <ignoredError sqref="I35 I27 I12 L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F6B5-3869-4837-8E2C-A48919964187}">
  <dimension ref="A1:O47"/>
  <sheetViews>
    <sheetView showGridLines="0" topLeftCell="A6" zoomScaleNormal="100" workbookViewId="0">
      <selection activeCell="I19" sqref="I19"/>
    </sheetView>
  </sheetViews>
  <sheetFormatPr defaultRowHeight="15.6" x14ac:dyDescent="0.3"/>
  <cols>
    <col min="1" max="1" width="10.33203125" customWidth="1"/>
    <col min="2" max="9" width="8.1640625" customWidth="1"/>
  </cols>
  <sheetData>
    <row r="1" spans="1:15" ht="18" x14ac:dyDescent="0.3">
      <c r="A1" s="602" t="s">
        <v>33</v>
      </c>
    </row>
    <row r="2" spans="1:15" x14ac:dyDescent="0.3">
      <c r="A2" s="625"/>
      <c r="B2" s="625"/>
      <c r="C2" s="625"/>
    </row>
    <row r="3" spans="1:15" x14ac:dyDescent="0.3">
      <c r="A3" s="625"/>
      <c r="B3" s="625"/>
      <c r="C3" s="625"/>
    </row>
    <row r="4" spans="1:15" x14ac:dyDescent="0.3">
      <c r="A4" s="625"/>
      <c r="B4" s="625"/>
      <c r="C4" s="625"/>
      <c r="E4" s="625"/>
      <c r="F4" s="625"/>
      <c r="G4" s="625"/>
    </row>
    <row r="5" spans="1:15" x14ac:dyDescent="0.3">
      <c r="A5" s="666" t="s">
        <v>266</v>
      </c>
      <c r="B5" s="667">
        <f>('1.收支表'!C23-'1.收支表'!G29-'1.收支表'!G44)/('1.收支表'!C23-'1.收支表'!G29)</f>
        <v>0.23483544303797468</v>
      </c>
      <c r="C5" s="625"/>
      <c r="E5" s="666" t="s">
        <v>274</v>
      </c>
      <c r="F5" s="667">
        <f>'2.資產負債表'!K19/'2.資產負債表'!H42</f>
        <v>0.38576094056172439</v>
      </c>
      <c r="G5" s="625"/>
    </row>
    <row r="6" spans="1:15" x14ac:dyDescent="0.3">
      <c r="A6" s="668"/>
      <c r="B6" s="667">
        <f>1-B5</f>
        <v>0.76516455696202534</v>
      </c>
      <c r="C6" s="625"/>
      <c r="E6" s="668"/>
      <c r="F6" s="667">
        <f>1-F5</f>
        <v>0.61423905943827561</v>
      </c>
      <c r="G6" s="625"/>
    </row>
    <row r="7" spans="1:15" x14ac:dyDescent="0.3">
      <c r="A7" s="668"/>
      <c r="B7" s="667">
        <v>1</v>
      </c>
      <c r="C7" s="625"/>
      <c r="E7" s="668"/>
      <c r="F7" s="667">
        <v>1</v>
      </c>
      <c r="G7" s="625"/>
    </row>
    <row r="8" spans="1:15" x14ac:dyDescent="0.3">
      <c r="E8" s="625"/>
      <c r="F8" s="625"/>
      <c r="G8" s="625"/>
    </row>
    <row r="9" spans="1:15" x14ac:dyDescent="0.3">
      <c r="D9" s="626"/>
      <c r="E9" s="627"/>
      <c r="G9" s="625"/>
      <c r="O9" s="629"/>
    </row>
    <row r="11" spans="1:15" s="421" customFormat="1" x14ac:dyDescent="0.3">
      <c r="K11"/>
      <c r="N11" s="630"/>
    </row>
    <row r="12" spans="1:15" s="421" customFormat="1" x14ac:dyDescent="0.3">
      <c r="A12" s="628"/>
      <c r="B12" s="628"/>
    </row>
    <row r="13" spans="1:15" s="421" customFormat="1" x14ac:dyDescent="0.3">
      <c r="A13" s="628"/>
      <c r="B13" s="628"/>
      <c r="E13" s="638"/>
      <c r="F13" s="638"/>
      <c r="G13" s="638"/>
    </row>
    <row r="14" spans="1:15" s="152" customFormat="1" x14ac:dyDescent="0.3">
      <c r="A14" s="639" t="s">
        <v>267</v>
      </c>
      <c r="B14" s="640">
        <f>'2.資產負債表'!H19/'1.收支表'!F39</f>
        <v>43.362425355994489</v>
      </c>
      <c r="C14" s="421"/>
      <c r="D14" s="421"/>
      <c r="E14" s="670" t="s">
        <v>273</v>
      </c>
      <c r="F14" s="669">
        <f>'2.資產負債表'!H4/'2.資產負債表'!K4</f>
        <v>3.0320150659133711</v>
      </c>
      <c r="G14" s="638"/>
    </row>
    <row r="15" spans="1:15" s="152" customFormat="1" x14ac:dyDescent="0.3">
      <c r="A15" s="641"/>
      <c r="B15" s="640">
        <f>60-B14</f>
        <v>16.637574644005511</v>
      </c>
      <c r="C15" s="421"/>
      <c r="D15" s="421"/>
      <c r="E15" s="671"/>
      <c r="F15" s="669">
        <f>1000%-F14</f>
        <v>6.9679849340866289</v>
      </c>
      <c r="G15" s="638"/>
    </row>
    <row r="16" spans="1:15" s="152" customFormat="1" x14ac:dyDescent="0.3">
      <c r="A16" s="641"/>
      <c r="B16" s="640">
        <v>60</v>
      </c>
      <c r="C16" s="421"/>
      <c r="D16" s="421"/>
      <c r="E16" s="671"/>
      <c r="F16" s="669">
        <v>10</v>
      </c>
      <c r="G16" s="638"/>
    </row>
    <row r="17" spans="1:8" s="152" customFormat="1" x14ac:dyDescent="0.3">
      <c r="A17" s="421"/>
      <c r="B17" s="421"/>
      <c r="C17" s="421"/>
      <c r="D17" s="421"/>
      <c r="E17" s="421"/>
      <c r="F17" s="421"/>
      <c r="G17" s="638"/>
    </row>
    <row r="18" spans="1:8" s="152" customFormat="1" x14ac:dyDescent="0.3">
      <c r="A18" s="421"/>
      <c r="B18" s="421"/>
      <c r="C18" s="421"/>
      <c r="D18" s="421"/>
      <c r="E18" s="421"/>
      <c r="F18" s="421"/>
      <c r="G18" s="638"/>
    </row>
    <row r="19" spans="1:8" s="152" customFormat="1" x14ac:dyDescent="0.3">
      <c r="A19" s="631"/>
      <c r="B19" s="632"/>
      <c r="E19" s="424"/>
      <c r="F19" s="425"/>
    </row>
    <row r="20" spans="1:8" s="425" customFormat="1" x14ac:dyDescent="0.3">
      <c r="A20" s="152"/>
      <c r="B20" s="152"/>
      <c r="E20" s="152"/>
      <c r="F20" s="426"/>
    </row>
    <row r="21" spans="1:8" s="152" customFormat="1" x14ac:dyDescent="0.3">
      <c r="E21" s="638"/>
      <c r="F21" s="638"/>
      <c r="G21" s="638"/>
    </row>
    <row r="22" spans="1:8" s="152" customFormat="1" x14ac:dyDescent="0.3">
      <c r="A22" s="421"/>
      <c r="B22" s="421"/>
      <c r="C22" s="421"/>
      <c r="E22" s="638"/>
      <c r="F22" s="638"/>
      <c r="G22" s="638"/>
    </row>
    <row r="23" spans="1:8" s="152" customFormat="1" x14ac:dyDescent="0.3">
      <c r="A23" s="421"/>
      <c r="B23" s="421"/>
      <c r="C23" s="421"/>
      <c r="E23" s="638"/>
      <c r="F23" s="638"/>
      <c r="G23" s="638"/>
    </row>
    <row r="24" spans="1:8" s="152" customFormat="1" x14ac:dyDescent="0.3">
      <c r="A24" s="639" t="s">
        <v>272</v>
      </c>
      <c r="B24" s="673">
        <f>('1.收支表'!F25*12+'1.收支表'!G25)/('1.收支表'!B3*12+'1.收支表'!C3-'1.收支表'!F29*12-'1.收支表'!G29)</f>
        <v>6.3291139240506333E-2</v>
      </c>
      <c r="C24" s="421"/>
      <c r="E24" s="670" t="s">
        <v>271</v>
      </c>
      <c r="F24" s="672">
        <f>'2.資產負債表'!H19/'2.資產負債表'!H42</f>
        <v>0.1541476159372959</v>
      </c>
      <c r="G24" s="638"/>
    </row>
    <row r="25" spans="1:8" s="152" customFormat="1" x14ac:dyDescent="0.3">
      <c r="A25" s="668"/>
      <c r="B25" s="672">
        <f>0.5-B24</f>
        <v>0.43670886075949367</v>
      </c>
      <c r="C25" s="421"/>
      <c r="E25" s="668"/>
      <c r="F25" s="672">
        <f>1-F24</f>
        <v>0.84585238406270413</v>
      </c>
      <c r="G25" s="638"/>
    </row>
    <row r="26" spans="1:8" s="152" customFormat="1" x14ac:dyDescent="0.3">
      <c r="A26" s="668"/>
      <c r="B26" s="674">
        <v>0.5</v>
      </c>
      <c r="C26" s="421"/>
      <c r="E26" s="668"/>
      <c r="F26" s="672">
        <v>1</v>
      </c>
      <c r="G26" s="638"/>
    </row>
    <row r="27" spans="1:8" s="421" customFormat="1" x14ac:dyDescent="0.3">
      <c r="F27" s="422"/>
    </row>
    <row r="28" spans="1:8" s="421" customFormat="1" x14ac:dyDescent="0.3">
      <c r="B28" s="423"/>
      <c r="F28" s="422"/>
    </row>
    <row r="29" spans="1:8" s="421" customFormat="1" x14ac:dyDescent="0.3">
      <c r="F29" s="422"/>
    </row>
    <row r="30" spans="1:8" s="421" customFormat="1" x14ac:dyDescent="0.3"/>
    <row r="31" spans="1:8" x14ac:dyDescent="0.3">
      <c r="A31" s="30"/>
      <c r="B31" s="30"/>
      <c r="C31" s="30"/>
      <c r="D31" s="30"/>
      <c r="E31" s="30"/>
      <c r="F31" s="30"/>
      <c r="G31" s="30"/>
      <c r="H31" s="30"/>
    </row>
    <row r="32" spans="1:8" x14ac:dyDescent="0.3">
      <c r="A32" s="30" t="s">
        <v>34</v>
      </c>
      <c r="B32" s="30"/>
      <c r="C32" s="30"/>
      <c r="D32" s="30"/>
      <c r="E32" s="30"/>
      <c r="F32" s="30"/>
      <c r="G32" s="30"/>
      <c r="H32" s="30"/>
    </row>
    <row r="33" spans="1:8" x14ac:dyDescent="0.3">
      <c r="A33" s="31"/>
      <c r="B33" s="32"/>
      <c r="C33" s="32"/>
      <c r="D33" s="32"/>
      <c r="E33" s="32"/>
      <c r="F33" s="32"/>
      <c r="G33" s="32"/>
      <c r="H33" s="33"/>
    </row>
    <row r="34" spans="1:8" x14ac:dyDescent="0.3">
      <c r="A34" s="34"/>
      <c r="B34" s="30"/>
      <c r="C34" s="30"/>
      <c r="D34" s="30"/>
      <c r="E34" s="30"/>
      <c r="F34" s="30"/>
      <c r="G34" s="30"/>
      <c r="H34" s="35"/>
    </row>
    <row r="35" spans="1:8" x14ac:dyDescent="0.3">
      <c r="A35" s="34"/>
      <c r="B35" s="30"/>
      <c r="C35" s="30"/>
      <c r="D35" s="30"/>
      <c r="E35" s="30"/>
      <c r="F35" s="30"/>
      <c r="G35" s="30"/>
      <c r="H35" s="35"/>
    </row>
    <row r="36" spans="1:8" x14ac:dyDescent="0.3">
      <c r="A36" s="34"/>
      <c r="B36" s="30"/>
      <c r="C36" s="30"/>
      <c r="D36" s="30"/>
      <c r="E36" s="30"/>
      <c r="F36" s="30"/>
      <c r="G36" s="30"/>
      <c r="H36" s="35"/>
    </row>
    <row r="37" spans="1:8" x14ac:dyDescent="0.3">
      <c r="A37" s="34"/>
      <c r="B37" s="30"/>
      <c r="C37" s="30"/>
      <c r="D37" s="30"/>
      <c r="E37" s="30"/>
      <c r="F37" s="30"/>
      <c r="G37" s="30"/>
      <c r="H37" s="35"/>
    </row>
    <row r="38" spans="1:8" x14ac:dyDescent="0.3">
      <c r="A38" s="34"/>
      <c r="B38" s="30"/>
      <c r="C38" s="30"/>
      <c r="D38" s="30"/>
      <c r="E38" s="30"/>
      <c r="F38" s="30"/>
      <c r="G38" s="30"/>
      <c r="H38" s="35"/>
    </row>
    <row r="39" spans="1:8" x14ac:dyDescent="0.3">
      <c r="A39" s="34"/>
      <c r="B39" s="30"/>
      <c r="C39" s="30"/>
      <c r="D39" s="30"/>
      <c r="E39" s="30"/>
      <c r="F39" s="30"/>
      <c r="G39" s="30"/>
      <c r="H39" s="35"/>
    </row>
    <row r="40" spans="1:8" x14ac:dyDescent="0.3">
      <c r="A40" s="34"/>
      <c r="B40" s="30"/>
      <c r="C40" s="30"/>
      <c r="D40" s="30"/>
      <c r="E40" s="30"/>
      <c r="F40" s="30"/>
      <c r="G40" s="30"/>
      <c r="H40" s="35"/>
    </row>
    <row r="41" spans="1:8" x14ac:dyDescent="0.3">
      <c r="A41" s="34"/>
      <c r="B41" s="30"/>
      <c r="C41" s="30"/>
      <c r="D41" s="30"/>
      <c r="E41" s="30"/>
      <c r="F41" s="30"/>
      <c r="G41" s="30"/>
      <c r="H41" s="35"/>
    </row>
    <row r="42" spans="1:8" x14ac:dyDescent="0.3">
      <c r="A42" s="34"/>
      <c r="B42" s="30"/>
      <c r="C42" s="30"/>
      <c r="D42" s="30"/>
      <c r="E42" s="30"/>
      <c r="F42" s="30"/>
      <c r="G42" s="30"/>
      <c r="H42" s="35"/>
    </row>
    <row r="43" spans="1:8" x14ac:dyDescent="0.3">
      <c r="A43" s="34"/>
      <c r="B43" s="30"/>
      <c r="C43" s="30"/>
      <c r="D43" s="30"/>
      <c r="E43" s="30"/>
      <c r="F43" s="30"/>
      <c r="G43" s="30"/>
      <c r="H43" s="35"/>
    </row>
    <row r="44" spans="1:8" x14ac:dyDescent="0.3">
      <c r="A44" s="34"/>
      <c r="B44" s="30"/>
      <c r="C44" s="30"/>
      <c r="D44" s="30"/>
      <c r="E44" s="30"/>
      <c r="F44" s="30"/>
      <c r="G44" s="30"/>
      <c r="H44" s="35"/>
    </row>
    <row r="45" spans="1:8" x14ac:dyDescent="0.3">
      <c r="A45" s="34"/>
      <c r="B45" s="30"/>
      <c r="C45" s="30"/>
      <c r="D45" s="30"/>
      <c r="E45" s="30"/>
      <c r="F45" s="30"/>
      <c r="G45" s="30"/>
      <c r="H45" s="35"/>
    </row>
    <row r="46" spans="1:8" x14ac:dyDescent="0.3">
      <c r="A46" s="34"/>
      <c r="B46" s="30"/>
      <c r="C46" s="30"/>
      <c r="D46" s="30"/>
      <c r="E46" s="30"/>
      <c r="F46" s="30"/>
      <c r="G46" s="30"/>
      <c r="H46" s="35"/>
    </row>
    <row r="47" spans="1:8" x14ac:dyDescent="0.3">
      <c r="A47" s="36"/>
      <c r="B47" s="37"/>
      <c r="C47" s="37"/>
      <c r="D47" s="37"/>
      <c r="E47" s="37"/>
      <c r="F47" s="37"/>
      <c r="G47" s="37"/>
      <c r="H47" s="38"/>
    </row>
  </sheetData>
  <sheetProtection selectLockedCells="1"/>
  <phoneticPr fontId="6" type="noConversion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1200" verticalDpi="1200" r:id="rId1"/>
  <ignoredErrors>
    <ignoredError sqref="B14:B15 F14:F15 F5:F6 B5:B6 F24:F25 B24:B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36CB-4B01-4A1B-A54E-66A3E16000D3}">
  <dimension ref="A1:U48"/>
  <sheetViews>
    <sheetView showGridLines="0" showWhiteSpace="0" topLeftCell="A7" zoomScale="90" zoomScaleNormal="90" workbookViewId="0">
      <selection activeCell="E6" sqref="E6"/>
    </sheetView>
  </sheetViews>
  <sheetFormatPr defaultRowHeight="15.6" x14ac:dyDescent="0.3"/>
  <cols>
    <col min="1" max="1" width="14.58203125" customWidth="1"/>
    <col min="2" max="2" width="10.58203125" customWidth="1"/>
    <col min="4" max="6" width="8.58203125" customWidth="1"/>
    <col min="8" max="8" width="10.58203125" customWidth="1"/>
    <col min="9" max="9" width="3.33203125" customWidth="1"/>
    <col min="10" max="10" width="8.58203125" customWidth="1"/>
    <col min="11" max="11" width="10.58203125" customWidth="1"/>
  </cols>
  <sheetData>
    <row r="1" spans="1:21" ht="18" x14ac:dyDescent="0.3">
      <c r="A1" s="395" t="s">
        <v>35</v>
      </c>
    </row>
    <row r="2" spans="1:21" ht="28.2" customHeight="1" x14ac:dyDescent="0.5">
      <c r="A2" s="678">
        <v>30</v>
      </c>
      <c r="C2" s="42" t="s">
        <v>36</v>
      </c>
      <c r="E2" s="39"/>
      <c r="J2" s="442"/>
    </row>
    <row r="3" spans="1:21" ht="19.95" customHeight="1" x14ac:dyDescent="0.3">
      <c r="A3" s="477" t="s">
        <v>35</v>
      </c>
      <c r="B3" s="478" t="s">
        <v>138</v>
      </c>
      <c r="C3" s="477" t="s">
        <v>39</v>
      </c>
      <c r="D3" s="479" t="s">
        <v>42</v>
      </c>
      <c r="E3" s="479" t="s">
        <v>217</v>
      </c>
      <c r="F3" s="479" t="s">
        <v>221</v>
      </c>
      <c r="G3" s="480" t="s">
        <v>277</v>
      </c>
      <c r="H3" s="481" t="s">
        <v>281</v>
      </c>
      <c r="I3" s="153"/>
      <c r="J3" s="481" t="s">
        <v>236</v>
      </c>
      <c r="K3" s="479" t="s">
        <v>339</v>
      </c>
    </row>
    <row r="4" spans="1:21" ht="19.95" customHeight="1" x14ac:dyDescent="0.3">
      <c r="A4" s="482" t="s">
        <v>111</v>
      </c>
      <c r="B4" s="286">
        <v>100</v>
      </c>
      <c r="C4" s="287">
        <v>35</v>
      </c>
      <c r="D4" s="287">
        <v>37</v>
      </c>
      <c r="E4" s="287">
        <v>30</v>
      </c>
      <c r="F4" s="293">
        <f t="shared" ref="F4:F9" si="0">C4-E4</f>
        <v>5</v>
      </c>
      <c r="G4" s="439" t="s">
        <v>278</v>
      </c>
      <c r="H4" s="646" t="s">
        <v>283</v>
      </c>
      <c r="I4" s="154"/>
      <c r="J4" s="643">
        <v>0.03</v>
      </c>
      <c r="K4" s="650">
        <f>FV(J4,C4-$A$2,,-B4)</f>
        <v>115.92740742999999</v>
      </c>
    </row>
    <row r="5" spans="1:21" ht="19.95" customHeight="1" x14ac:dyDescent="0.3">
      <c r="A5" s="483" t="s">
        <v>40</v>
      </c>
      <c r="B5" s="43">
        <v>150</v>
      </c>
      <c r="C5" s="44">
        <v>35</v>
      </c>
      <c r="D5" s="44">
        <v>40</v>
      </c>
      <c r="E5" s="44">
        <v>30</v>
      </c>
      <c r="F5" s="294">
        <f t="shared" si="0"/>
        <v>5</v>
      </c>
      <c r="G5" s="440" t="s">
        <v>278</v>
      </c>
      <c r="H5" s="647" t="s">
        <v>282</v>
      </c>
      <c r="I5" s="154"/>
      <c r="J5" s="644">
        <v>0.03</v>
      </c>
      <c r="K5" s="650">
        <f t="shared" ref="K5:K9" si="1">FV(J5,C5-$A$2,,-B5)</f>
        <v>173.89111114499997</v>
      </c>
    </row>
    <row r="6" spans="1:21" ht="19.95" customHeight="1" x14ac:dyDescent="0.3">
      <c r="A6" s="483" t="s">
        <v>356</v>
      </c>
      <c r="B6" s="43">
        <v>500</v>
      </c>
      <c r="C6" s="44">
        <v>40</v>
      </c>
      <c r="D6" s="44">
        <v>45</v>
      </c>
      <c r="E6" s="44">
        <v>35</v>
      </c>
      <c r="F6" s="294">
        <f t="shared" si="0"/>
        <v>5</v>
      </c>
      <c r="G6" s="440" t="s">
        <v>279</v>
      </c>
      <c r="H6" s="647" t="s">
        <v>283</v>
      </c>
      <c r="I6" s="154"/>
      <c r="J6" s="644">
        <v>0.03</v>
      </c>
      <c r="K6" s="650">
        <f t="shared" si="1"/>
        <v>671.95818967206094</v>
      </c>
    </row>
    <row r="7" spans="1:21" ht="19.95" customHeight="1" x14ac:dyDescent="0.3">
      <c r="A7" s="483" t="s">
        <v>4</v>
      </c>
      <c r="B7" s="43">
        <v>1200</v>
      </c>
      <c r="C7" s="44">
        <v>55</v>
      </c>
      <c r="D7" s="44">
        <v>65</v>
      </c>
      <c r="E7" s="44">
        <v>40</v>
      </c>
      <c r="F7" s="294">
        <f t="shared" si="0"/>
        <v>15</v>
      </c>
      <c r="G7" s="440" t="s">
        <v>280</v>
      </c>
      <c r="H7" s="647" t="s">
        <v>340</v>
      </c>
      <c r="I7" s="154"/>
      <c r="J7" s="644">
        <v>0.03</v>
      </c>
      <c r="K7" s="650">
        <f t="shared" si="1"/>
        <v>2512.5335155850566</v>
      </c>
    </row>
    <row r="8" spans="1:21" ht="19.95" customHeight="1" x14ac:dyDescent="0.3">
      <c r="A8" s="483" t="s">
        <v>134</v>
      </c>
      <c r="B8" s="43">
        <v>100</v>
      </c>
      <c r="C8" s="44">
        <v>45</v>
      </c>
      <c r="D8" s="44">
        <v>50</v>
      </c>
      <c r="E8" s="44">
        <v>40</v>
      </c>
      <c r="F8" s="294">
        <f t="shared" si="0"/>
        <v>5</v>
      </c>
      <c r="G8" s="440" t="s">
        <v>280</v>
      </c>
      <c r="H8" s="647" t="s">
        <v>282</v>
      </c>
      <c r="I8" s="154"/>
      <c r="J8" s="644">
        <v>0.03</v>
      </c>
      <c r="K8" s="650">
        <f t="shared" si="1"/>
        <v>155.79674166007644</v>
      </c>
    </row>
    <row r="9" spans="1:21" ht="19.95" customHeight="1" x14ac:dyDescent="0.3">
      <c r="A9" s="484" t="s">
        <v>135</v>
      </c>
      <c r="B9" s="288">
        <v>300</v>
      </c>
      <c r="C9" s="289">
        <v>60</v>
      </c>
      <c r="D9" s="289">
        <v>65</v>
      </c>
      <c r="E9" s="289">
        <v>40</v>
      </c>
      <c r="F9" s="295">
        <f t="shared" si="0"/>
        <v>20</v>
      </c>
      <c r="G9" s="441" t="s">
        <v>280</v>
      </c>
      <c r="H9" s="648" t="s">
        <v>337</v>
      </c>
      <c r="I9" s="649"/>
      <c r="J9" s="645">
        <v>0.03</v>
      </c>
      <c r="K9" s="651">
        <f t="shared" si="1"/>
        <v>728.17874135689772</v>
      </c>
    </row>
    <row r="10" spans="1:21" x14ac:dyDescent="0.3">
      <c r="A10" s="30"/>
      <c r="B10" s="30"/>
      <c r="C10" s="30"/>
      <c r="D10" s="30"/>
      <c r="E10" s="152"/>
      <c r="F10" s="152"/>
      <c r="G10" s="152"/>
      <c r="H10" s="30"/>
      <c r="J10" s="30"/>
    </row>
    <row r="12" spans="1:21" x14ac:dyDescent="0.3">
      <c r="B12" s="474"/>
      <c r="C12" s="474"/>
      <c r="D12" s="474"/>
      <c r="E12" s="474"/>
      <c r="F12" s="474"/>
      <c r="G12" s="474"/>
      <c r="H12" s="474"/>
      <c r="O12" s="313"/>
      <c r="P12" s="313"/>
      <c r="Q12" s="313"/>
      <c r="R12" s="313"/>
      <c r="S12" s="313"/>
      <c r="T12" s="313"/>
      <c r="U12" s="313"/>
    </row>
    <row r="13" spans="1:21" x14ac:dyDescent="0.3">
      <c r="B13" s="474"/>
      <c r="C13" s="474"/>
      <c r="D13" s="474"/>
      <c r="E13" s="474"/>
      <c r="F13" s="474"/>
      <c r="G13" s="474"/>
      <c r="H13" s="474"/>
      <c r="O13" s="313"/>
      <c r="P13" s="313"/>
      <c r="Q13" s="313"/>
      <c r="R13" s="313"/>
      <c r="S13" s="313"/>
      <c r="T13" s="313"/>
      <c r="U13" s="313"/>
    </row>
    <row r="14" spans="1:21" x14ac:dyDescent="0.3">
      <c r="B14" s="474"/>
      <c r="C14" s="474"/>
      <c r="D14" s="474"/>
      <c r="E14" s="474"/>
      <c r="F14" s="474"/>
      <c r="G14" s="474"/>
      <c r="H14" s="474"/>
      <c r="P14" s="291"/>
      <c r="Q14" s="291"/>
      <c r="R14" s="291"/>
      <c r="S14" s="291"/>
    </row>
    <row r="15" spans="1:21" x14ac:dyDescent="0.3">
      <c r="B15" s="474"/>
      <c r="C15" s="474"/>
      <c r="D15" s="474"/>
      <c r="E15" s="474"/>
      <c r="F15" s="474"/>
      <c r="G15" s="474"/>
      <c r="H15" s="474"/>
      <c r="P15" s="291"/>
      <c r="Q15" s="291"/>
      <c r="R15" s="291"/>
      <c r="S15" s="291"/>
    </row>
    <row r="16" spans="1:21" x14ac:dyDescent="0.3">
      <c r="B16" s="520"/>
      <c r="C16" s="520"/>
      <c r="D16" s="520"/>
      <c r="E16" s="520"/>
      <c r="F16" s="520"/>
      <c r="G16" s="520"/>
      <c r="H16" s="521" t="s">
        <v>137</v>
      </c>
      <c r="I16" s="522" t="s">
        <v>37</v>
      </c>
      <c r="O16" s="313"/>
      <c r="P16" s="291"/>
      <c r="Q16" s="291"/>
      <c r="R16" s="291"/>
      <c r="S16" s="291"/>
    </row>
    <row r="17" spans="1:19" x14ac:dyDescent="0.3">
      <c r="B17" s="520" t="str">
        <f>A9</f>
        <v>醫療基金</v>
      </c>
      <c r="C17" s="523">
        <f>B9</f>
        <v>300</v>
      </c>
      <c r="D17" s="524">
        <f>C9</f>
        <v>60</v>
      </c>
      <c r="E17" s="524">
        <f>D9</f>
        <v>65</v>
      </c>
      <c r="F17" s="525">
        <f>F9</f>
        <v>20</v>
      </c>
      <c r="G17" s="525">
        <f>F9</f>
        <v>20</v>
      </c>
      <c r="H17" s="526">
        <v>70</v>
      </c>
      <c r="I17" s="522">
        <v>2.4</v>
      </c>
      <c r="O17" s="313"/>
      <c r="P17" s="291"/>
      <c r="Q17" s="291"/>
      <c r="R17" s="291"/>
      <c r="S17" s="291"/>
    </row>
    <row r="18" spans="1:19" x14ac:dyDescent="0.3">
      <c r="B18" s="520" t="str">
        <f>A8</f>
        <v>創業基金</v>
      </c>
      <c r="C18" s="523">
        <f>B8</f>
        <v>100</v>
      </c>
      <c r="D18" s="524">
        <f>C8</f>
        <v>45</v>
      </c>
      <c r="E18" s="524">
        <f>D8</f>
        <v>50</v>
      </c>
      <c r="F18" s="525">
        <f>F8</f>
        <v>5</v>
      </c>
      <c r="G18" s="525">
        <f>F8</f>
        <v>5</v>
      </c>
      <c r="H18" s="526">
        <f>H17</f>
        <v>70</v>
      </c>
      <c r="I18" s="522">
        <f>I17+5</f>
        <v>7.4</v>
      </c>
      <c r="O18" s="313"/>
      <c r="P18" s="291"/>
      <c r="Q18" s="291"/>
      <c r="R18" s="291"/>
      <c r="S18" s="291"/>
    </row>
    <row r="19" spans="1:19" x14ac:dyDescent="0.3">
      <c r="B19" s="520" t="str">
        <f>A7</f>
        <v>退休金</v>
      </c>
      <c r="C19" s="523">
        <f>B7</f>
        <v>1200</v>
      </c>
      <c r="D19" s="524">
        <f>C7</f>
        <v>55</v>
      </c>
      <c r="E19" s="524">
        <f>D7</f>
        <v>65</v>
      </c>
      <c r="F19" s="525">
        <f>F7</f>
        <v>15</v>
      </c>
      <c r="G19" s="525">
        <f>F7</f>
        <v>15</v>
      </c>
      <c r="H19" s="526">
        <f>H17</f>
        <v>70</v>
      </c>
      <c r="I19" s="522">
        <f>I18+5</f>
        <v>12.4</v>
      </c>
      <c r="P19" s="291"/>
      <c r="Q19" s="291"/>
      <c r="R19" s="291"/>
      <c r="S19" s="291"/>
    </row>
    <row r="20" spans="1:19" x14ac:dyDescent="0.3">
      <c r="B20" s="520" t="str">
        <f>A6</f>
        <v>購／換屋頭期款</v>
      </c>
      <c r="C20" s="523">
        <f>B6</f>
        <v>500</v>
      </c>
      <c r="D20" s="524">
        <f>C6</f>
        <v>40</v>
      </c>
      <c r="E20" s="524">
        <f>D6</f>
        <v>45</v>
      </c>
      <c r="F20" s="525">
        <f>F6</f>
        <v>5</v>
      </c>
      <c r="G20" s="525">
        <f>F6</f>
        <v>5</v>
      </c>
      <c r="H20" s="526">
        <f>H17</f>
        <v>70</v>
      </c>
      <c r="I20" s="522">
        <f t="shared" ref="I20:I22" si="2">I19+5</f>
        <v>17.399999999999999</v>
      </c>
    </row>
    <row r="21" spans="1:19" x14ac:dyDescent="0.3">
      <c r="B21" s="520" t="str">
        <f>A5</f>
        <v>購車</v>
      </c>
      <c r="C21" s="523">
        <f>B5</f>
        <v>150</v>
      </c>
      <c r="D21" s="524">
        <f>C5</f>
        <v>35</v>
      </c>
      <c r="E21" s="524">
        <f>D5</f>
        <v>40</v>
      </c>
      <c r="F21" s="525">
        <f>F5</f>
        <v>5</v>
      </c>
      <c r="G21" s="525">
        <f>F5</f>
        <v>5</v>
      </c>
      <c r="H21" s="526">
        <f>H17</f>
        <v>70</v>
      </c>
      <c r="I21" s="522">
        <f t="shared" si="2"/>
        <v>22.4</v>
      </c>
    </row>
    <row r="22" spans="1:19" x14ac:dyDescent="0.3">
      <c r="B22" s="520" t="str">
        <f>A4</f>
        <v>子女教育金</v>
      </c>
      <c r="C22" s="523">
        <f>B4</f>
        <v>100</v>
      </c>
      <c r="D22" s="524">
        <f>C4</f>
        <v>35</v>
      </c>
      <c r="E22" s="524">
        <f>D4</f>
        <v>37</v>
      </c>
      <c r="F22" s="525">
        <f>F4</f>
        <v>5</v>
      </c>
      <c r="G22" s="525">
        <f>F4</f>
        <v>5</v>
      </c>
      <c r="H22" s="526">
        <f>H17</f>
        <v>70</v>
      </c>
      <c r="I22" s="522">
        <f t="shared" si="2"/>
        <v>27.4</v>
      </c>
    </row>
    <row r="23" spans="1:19" x14ac:dyDescent="0.3">
      <c r="B23" s="474"/>
      <c r="C23" s="474"/>
      <c r="D23" s="474"/>
      <c r="E23" s="474"/>
      <c r="F23" s="474"/>
      <c r="G23" s="474"/>
      <c r="H23" s="474"/>
    </row>
    <row r="24" spans="1:19" x14ac:dyDescent="0.3">
      <c r="B24" s="474"/>
      <c r="C24" s="474"/>
      <c r="D24" s="474"/>
      <c r="E24" s="474"/>
      <c r="F24" s="474"/>
      <c r="G24" s="474"/>
      <c r="H24" s="474"/>
    </row>
    <row r="25" spans="1:19" x14ac:dyDescent="0.3">
      <c r="B25" s="474"/>
      <c r="C25" s="474"/>
      <c r="D25" s="474"/>
      <c r="E25" s="474"/>
      <c r="F25" s="474"/>
      <c r="G25" s="474"/>
      <c r="H25" s="474"/>
    </row>
    <row r="26" spans="1:19" x14ac:dyDescent="0.3">
      <c r="B26" s="474"/>
      <c r="C26" s="474"/>
      <c r="D26" s="474"/>
      <c r="E26" s="474"/>
      <c r="F26" s="474"/>
      <c r="G26" s="474"/>
      <c r="H26" s="474"/>
    </row>
    <row r="27" spans="1:19" x14ac:dyDescent="0.3">
      <c r="B27" s="474"/>
      <c r="C27" s="474"/>
      <c r="D27" s="474"/>
      <c r="E27" s="474"/>
      <c r="F27" s="474"/>
      <c r="G27" s="474"/>
      <c r="H27" s="474"/>
      <c r="O27" s="313"/>
    </row>
    <row r="28" spans="1:19" x14ac:dyDescent="0.3">
      <c r="B28" s="474"/>
      <c r="C28" s="474"/>
      <c r="D28" s="474"/>
      <c r="E28" s="474"/>
      <c r="F28" s="474"/>
      <c r="G28" s="474"/>
      <c r="H28" s="474"/>
    </row>
    <row r="29" spans="1:19" x14ac:dyDescent="0.3">
      <c r="B29" s="474"/>
      <c r="C29" s="474"/>
      <c r="D29" s="474"/>
      <c r="E29" s="474"/>
      <c r="F29" s="474"/>
      <c r="G29" s="474"/>
      <c r="H29" s="474"/>
    </row>
    <row r="30" spans="1:19" x14ac:dyDescent="0.3">
      <c r="A30" s="30"/>
      <c r="B30" s="475"/>
      <c r="C30" s="475"/>
      <c r="D30" s="475"/>
      <c r="E30" s="475"/>
      <c r="F30" s="475"/>
      <c r="G30" s="475"/>
      <c r="H30" s="475"/>
      <c r="I30" s="30"/>
    </row>
    <row r="31" spans="1:19" x14ac:dyDescent="0.3">
      <c r="A31" s="156"/>
      <c r="B31" s="475"/>
      <c r="C31" s="475"/>
      <c r="D31" s="475"/>
      <c r="E31" s="475"/>
      <c r="F31" s="475"/>
      <c r="G31" s="475"/>
      <c r="H31" s="475"/>
      <c r="I31" s="30"/>
    </row>
    <row r="32" spans="1:19" x14ac:dyDescent="0.3">
      <c r="A32" s="30"/>
      <c r="B32" s="475"/>
      <c r="C32" s="475"/>
      <c r="D32" s="475"/>
      <c r="E32" s="475"/>
      <c r="F32" s="475"/>
      <c r="G32" s="475"/>
      <c r="H32" s="475"/>
      <c r="I32" s="30"/>
    </row>
    <row r="33" spans="1:9" x14ac:dyDescent="0.3">
      <c r="E33" s="30"/>
      <c r="F33" s="30"/>
      <c r="G33" s="30"/>
      <c r="H33" s="30"/>
      <c r="I33" s="30"/>
    </row>
    <row r="34" spans="1:9" x14ac:dyDescent="0.3">
      <c r="E34" s="30"/>
      <c r="F34" s="30"/>
      <c r="G34" s="30"/>
      <c r="H34" s="30"/>
      <c r="I34" s="30"/>
    </row>
    <row r="35" spans="1:9" x14ac:dyDescent="0.3">
      <c r="E35" s="30"/>
      <c r="F35" s="30"/>
      <c r="G35" s="30"/>
      <c r="H35" s="30"/>
      <c r="I35" s="30"/>
    </row>
    <row r="36" spans="1:9" x14ac:dyDescent="0.3">
      <c r="E36" s="30"/>
      <c r="F36" s="30"/>
      <c r="G36" s="30"/>
      <c r="H36" s="30"/>
      <c r="I36" s="30"/>
    </row>
    <row r="37" spans="1:9" x14ac:dyDescent="0.3">
      <c r="E37" s="30"/>
      <c r="F37" s="30"/>
      <c r="G37" s="30"/>
      <c r="H37" s="30"/>
      <c r="I37" s="30"/>
    </row>
    <row r="38" spans="1:9" x14ac:dyDescent="0.3">
      <c r="E38" s="30"/>
      <c r="F38" s="30"/>
      <c r="G38" s="30"/>
      <c r="H38" s="30"/>
      <c r="I38" s="30"/>
    </row>
    <row r="39" spans="1:9" x14ac:dyDescent="0.3">
      <c r="E39" s="30"/>
      <c r="F39" s="30"/>
      <c r="G39" s="30"/>
      <c r="H39" s="30"/>
      <c r="I39" s="30"/>
    </row>
    <row r="40" spans="1:9" x14ac:dyDescent="0.3">
      <c r="A40" s="30"/>
      <c r="B40" s="30"/>
      <c r="C40" s="30"/>
      <c r="D40" s="30"/>
      <c r="E40" s="30"/>
      <c r="F40" s="30"/>
      <c r="G40" s="30"/>
      <c r="H40" s="30"/>
      <c r="I40" s="30"/>
    </row>
    <row r="41" spans="1:9" x14ac:dyDescent="0.3">
      <c r="A41" s="30"/>
      <c r="B41" s="30"/>
      <c r="C41" s="30"/>
      <c r="D41" s="30"/>
      <c r="E41" s="30"/>
      <c r="F41" s="30"/>
      <c r="G41" s="30"/>
      <c r="H41" s="30"/>
      <c r="I41" s="30"/>
    </row>
    <row r="42" spans="1:9" x14ac:dyDescent="0.3">
      <c r="A42" s="30"/>
      <c r="B42" s="30"/>
      <c r="C42" s="30"/>
      <c r="D42" s="30"/>
      <c r="E42" s="30"/>
      <c r="F42" s="30"/>
      <c r="G42" s="30"/>
      <c r="H42" s="30"/>
      <c r="I42" s="30"/>
    </row>
    <row r="43" spans="1:9" x14ac:dyDescent="0.3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3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3">
      <c r="A45" s="30"/>
      <c r="B45" s="30"/>
      <c r="C45" s="30"/>
      <c r="D45" s="30"/>
      <c r="E45" s="30"/>
      <c r="F45" s="30"/>
      <c r="G45" s="30"/>
      <c r="H45" s="30"/>
      <c r="I45" s="30"/>
    </row>
    <row r="46" spans="1:9" x14ac:dyDescent="0.3">
      <c r="A46" s="30"/>
      <c r="B46" s="30"/>
      <c r="C46" s="30"/>
      <c r="D46" s="30"/>
      <c r="E46" s="30"/>
      <c r="F46" s="30"/>
      <c r="G46" s="30"/>
      <c r="H46" s="30"/>
      <c r="I46" s="30"/>
    </row>
    <row r="47" spans="1:9" x14ac:dyDescent="0.3">
      <c r="A47" s="30"/>
      <c r="B47" s="30"/>
      <c r="C47" s="30"/>
      <c r="D47" s="30"/>
      <c r="E47" s="30"/>
      <c r="F47" s="30"/>
      <c r="G47" s="30"/>
      <c r="H47" s="30"/>
      <c r="I47" s="30"/>
    </row>
    <row r="48" spans="1:9" x14ac:dyDescent="0.3">
      <c r="A48" s="30"/>
      <c r="B48" s="30"/>
      <c r="C48" s="30"/>
      <c r="D48" s="30"/>
      <c r="E48" s="30"/>
      <c r="F48" s="30"/>
      <c r="G48" s="30"/>
      <c r="H48" s="30"/>
      <c r="I48" s="30"/>
    </row>
  </sheetData>
  <sheetProtection selectLockedCells="1"/>
  <phoneticPr fontId="6" type="noConversion"/>
  <dataValidations disablePrompts="1" count="3">
    <dataValidation type="list" allowBlank="1" showInputMessage="1" sqref="A4:A9" xr:uid="{0F22DDDD-EC0C-4528-B913-F47011A28562}">
      <formula1>"子女教育金,購／換屋頭期款,購／換車,退休金,遺贈規劃,創業基金,　"</formula1>
    </dataValidation>
    <dataValidation type="list" allowBlank="1" showInputMessage="1" sqref="G4:G9" xr:uid="{9B929F9B-8B4D-45D9-B775-A32BB75C5776}">
      <formula1>"短期,中期,長期"</formula1>
    </dataValidation>
    <dataValidation type="list" allowBlank="1" showInputMessage="1" showErrorMessage="1" sqref="H4:H9" xr:uid="{3BDB4100-65CF-4E12-8BF8-8F5D64F9DCD6}">
      <formula1>"★★★★★,★★★★,★★★,★★,★"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1200" verticalDpi="1200" r:id="rId1"/>
  <ignoredErrors>
    <ignoredError sqref="F17:F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5F6E-479D-4ED5-86A0-B9207DBDFD20}">
  <dimension ref="A1:N166"/>
  <sheetViews>
    <sheetView showGridLines="0" zoomScaleNormal="100" workbookViewId="0">
      <selection activeCell="H17" sqref="H17"/>
    </sheetView>
  </sheetViews>
  <sheetFormatPr defaultRowHeight="15.6" x14ac:dyDescent="0.3"/>
  <cols>
    <col min="1" max="1" width="15.58203125" customWidth="1"/>
    <col min="2" max="2" width="12.58203125" customWidth="1"/>
    <col min="3" max="3" width="7.08203125" customWidth="1"/>
    <col min="4" max="4" width="10.58203125" customWidth="1"/>
    <col min="5" max="6" width="8.58203125" customWidth="1"/>
    <col min="7" max="7" width="12.58203125" customWidth="1"/>
    <col min="8" max="8" width="15.58203125" customWidth="1"/>
    <col min="9" max="9" width="14.58203125" customWidth="1"/>
    <col min="10" max="10" width="7.83203125" bestFit="1" customWidth="1"/>
    <col min="11" max="11" width="8.5" customWidth="1"/>
    <col min="12" max="12" width="9" customWidth="1"/>
    <col min="13" max="13" width="6.58203125" customWidth="1"/>
    <col min="14" max="14" width="13.5" customWidth="1"/>
  </cols>
  <sheetData>
    <row r="1" spans="1:7" ht="27" customHeight="1" thickBot="1" x14ac:dyDescent="0.35">
      <c r="A1" s="129" t="s">
        <v>43</v>
      </c>
      <c r="B1" s="130"/>
      <c r="C1" s="130"/>
      <c r="D1" s="130"/>
      <c r="E1" s="130"/>
      <c r="F1" s="130"/>
      <c r="G1" s="130"/>
    </row>
    <row r="2" spans="1:7" ht="25.05" customHeight="1" thickBot="1" x14ac:dyDescent="0.35">
      <c r="A2" s="551" t="s">
        <v>129</v>
      </c>
      <c r="B2" s="552" t="s">
        <v>114</v>
      </c>
      <c r="C2" s="552" t="s">
        <v>120</v>
      </c>
      <c r="D2" s="552" t="s">
        <v>121</v>
      </c>
      <c r="E2" s="552" t="s">
        <v>118</v>
      </c>
      <c r="F2" s="553" t="s">
        <v>117</v>
      </c>
      <c r="G2" s="554" t="s">
        <v>45</v>
      </c>
    </row>
    <row r="3" spans="1:7" ht="18" customHeight="1" thickTop="1" x14ac:dyDescent="0.3">
      <c r="A3" s="143" t="s">
        <v>119</v>
      </c>
      <c r="B3" s="114">
        <v>600000</v>
      </c>
      <c r="C3" s="115" t="s">
        <v>47</v>
      </c>
      <c r="D3" s="116">
        <v>10</v>
      </c>
      <c r="E3" s="117">
        <v>0.6</v>
      </c>
      <c r="F3" s="118">
        <v>0.01</v>
      </c>
      <c r="G3" s="131">
        <f>FV(F3,D3,-B3)*E3</f>
        <v>3766396.5148033709</v>
      </c>
    </row>
    <row r="4" spans="1:7" ht="18" customHeight="1" x14ac:dyDescent="0.3">
      <c r="A4" s="144" t="s">
        <v>111</v>
      </c>
      <c r="B4" s="119">
        <v>4000000</v>
      </c>
      <c r="C4" s="120" t="s">
        <v>123</v>
      </c>
      <c r="D4" s="121">
        <v>1</v>
      </c>
      <c r="E4" s="122">
        <v>0.6</v>
      </c>
      <c r="F4" s="123">
        <v>0</v>
      </c>
      <c r="G4" s="132">
        <f t="shared" ref="G4:G10" si="0">FV(F4,D4,-B4)*E4</f>
        <v>2400000</v>
      </c>
    </row>
    <row r="5" spans="1:7" ht="18" customHeight="1" x14ac:dyDescent="0.3">
      <c r="A5" s="144" t="s">
        <v>112</v>
      </c>
      <c r="B5" s="119">
        <v>120000</v>
      </c>
      <c r="C5" s="120" t="s">
        <v>122</v>
      </c>
      <c r="D5" s="121">
        <v>10</v>
      </c>
      <c r="E5" s="122">
        <v>1</v>
      </c>
      <c r="F5" s="123">
        <v>0.01</v>
      </c>
      <c r="G5" s="132">
        <f t="shared" si="0"/>
        <v>1255465.5049344569</v>
      </c>
    </row>
    <row r="6" spans="1:7" ht="18" customHeight="1" x14ac:dyDescent="0.3">
      <c r="A6" s="144" t="s">
        <v>113</v>
      </c>
      <c r="B6" s="119">
        <v>10000000</v>
      </c>
      <c r="C6" s="120" t="s">
        <v>123</v>
      </c>
      <c r="D6" s="121">
        <v>1</v>
      </c>
      <c r="E6" s="122">
        <v>0.6</v>
      </c>
      <c r="F6" s="123">
        <v>0</v>
      </c>
      <c r="G6" s="132">
        <f t="shared" si="0"/>
        <v>6000000</v>
      </c>
    </row>
    <row r="7" spans="1:7" ht="18" customHeight="1" x14ac:dyDescent="0.3">
      <c r="A7" s="145" t="s">
        <v>115</v>
      </c>
      <c r="B7" s="119">
        <v>1000000</v>
      </c>
      <c r="C7" s="120" t="s">
        <v>123</v>
      </c>
      <c r="D7" s="121">
        <v>1</v>
      </c>
      <c r="E7" s="122">
        <v>1</v>
      </c>
      <c r="F7" s="123">
        <v>0</v>
      </c>
      <c r="G7" s="132">
        <f t="shared" si="0"/>
        <v>1000000</v>
      </c>
    </row>
    <row r="8" spans="1:7" ht="18" customHeight="1" x14ac:dyDescent="0.3">
      <c r="A8" s="145"/>
      <c r="B8" s="119"/>
      <c r="C8" s="120"/>
      <c r="D8" s="124"/>
      <c r="E8" s="122"/>
      <c r="F8" s="123"/>
      <c r="G8" s="132">
        <f t="shared" si="0"/>
        <v>0</v>
      </c>
    </row>
    <row r="9" spans="1:7" ht="18" customHeight="1" x14ac:dyDescent="0.3">
      <c r="A9" s="144"/>
      <c r="B9" s="119"/>
      <c r="C9" s="120"/>
      <c r="D9" s="124"/>
      <c r="E9" s="122"/>
      <c r="F9" s="123"/>
      <c r="G9" s="132">
        <f t="shared" si="0"/>
        <v>0</v>
      </c>
    </row>
    <row r="10" spans="1:7" ht="18" customHeight="1" thickBot="1" x14ac:dyDescent="0.35">
      <c r="A10" s="146"/>
      <c r="B10" s="137"/>
      <c r="C10" s="138"/>
      <c r="D10" s="139"/>
      <c r="E10" s="140"/>
      <c r="F10" s="141"/>
      <c r="G10" s="142">
        <f t="shared" si="0"/>
        <v>0</v>
      </c>
    </row>
    <row r="11" spans="1:7" ht="25.05" customHeight="1" thickTop="1" thickBot="1" x14ac:dyDescent="0.35">
      <c r="A11" s="147" t="s">
        <v>130</v>
      </c>
      <c r="B11" s="134">
        <f>SUM(G3:G10)</f>
        <v>14421862.019737829</v>
      </c>
      <c r="C11" s="135"/>
      <c r="D11" s="135"/>
      <c r="E11" s="135"/>
      <c r="F11" s="135"/>
      <c r="G11" s="136"/>
    </row>
    <row r="12" spans="1:7" ht="16.2" x14ac:dyDescent="0.3">
      <c r="A12" s="110"/>
      <c r="B12" s="111"/>
      <c r="C12" s="111"/>
      <c r="D12" s="111"/>
      <c r="E12" s="111"/>
      <c r="F12" s="112"/>
      <c r="G12" s="113"/>
    </row>
    <row r="13" spans="1:7" ht="16.2" x14ac:dyDescent="0.3">
      <c r="A13" s="110"/>
      <c r="B13" s="111"/>
      <c r="C13" s="111"/>
      <c r="D13" s="111"/>
      <c r="E13" s="111"/>
      <c r="F13" s="112"/>
      <c r="G13" s="113"/>
    </row>
    <row r="14" spans="1:7" ht="16.8" thickBot="1" x14ac:dyDescent="0.35">
      <c r="A14" s="694" t="s">
        <v>44</v>
      </c>
      <c r="B14" s="694"/>
      <c r="C14" s="111"/>
      <c r="D14" s="111"/>
      <c r="E14" s="111"/>
      <c r="F14" s="112"/>
      <c r="G14" s="113"/>
    </row>
    <row r="15" spans="1:7" ht="25.05" customHeight="1" thickBot="1" x14ac:dyDescent="0.35">
      <c r="A15" s="551" t="s">
        <v>128</v>
      </c>
      <c r="B15" s="554" t="s">
        <v>46</v>
      </c>
      <c r="C15" s="111"/>
      <c r="D15" s="555" t="s">
        <v>327</v>
      </c>
      <c r="E15" s="555" t="s">
        <v>287</v>
      </c>
      <c r="F15" s="555" t="s">
        <v>288</v>
      </c>
      <c r="G15" s="113"/>
    </row>
    <row r="16" spans="1:7" ht="18" customHeight="1" thickTop="1" x14ac:dyDescent="0.3">
      <c r="A16" s="143" t="s">
        <v>124</v>
      </c>
      <c r="B16" s="133">
        <v>1000000</v>
      </c>
      <c r="C16" s="111"/>
      <c r="D16" s="550" t="s">
        <v>284</v>
      </c>
      <c r="E16" s="459">
        <f>B22/10000</f>
        <v>550</v>
      </c>
      <c r="F16" s="459">
        <f>B11/10000</f>
        <v>1442.1862019737828</v>
      </c>
      <c r="G16" s="113"/>
    </row>
    <row r="17" spans="1:14" ht="18" customHeight="1" x14ac:dyDescent="0.3">
      <c r="A17" s="148" t="s">
        <v>125</v>
      </c>
      <c r="B17" s="125">
        <v>500000</v>
      </c>
      <c r="C17" s="111"/>
      <c r="D17" s="550" t="s">
        <v>285</v>
      </c>
      <c r="E17" s="459">
        <v>100</v>
      </c>
      <c r="F17" s="459">
        <v>400</v>
      </c>
      <c r="G17" s="113"/>
    </row>
    <row r="18" spans="1:14" ht="18" customHeight="1" x14ac:dyDescent="0.3">
      <c r="A18" s="148" t="s">
        <v>116</v>
      </c>
      <c r="B18" s="125">
        <v>2000000</v>
      </c>
      <c r="C18" s="111"/>
      <c r="D18" s="550" t="s">
        <v>286</v>
      </c>
      <c r="E18" s="459">
        <v>150</v>
      </c>
      <c r="F18" s="459">
        <v>450</v>
      </c>
      <c r="G18" s="113"/>
    </row>
    <row r="19" spans="1:14" ht="18" customHeight="1" x14ac:dyDescent="0.3">
      <c r="A19" s="148" t="s">
        <v>126</v>
      </c>
      <c r="B19" s="125">
        <v>2000000</v>
      </c>
      <c r="C19" s="111"/>
      <c r="D19" s="549" t="s">
        <v>325</v>
      </c>
      <c r="E19" s="459">
        <v>200</v>
      </c>
      <c r="F19" s="459">
        <v>600</v>
      </c>
      <c r="G19" s="113"/>
    </row>
    <row r="20" spans="1:14" ht="18" customHeight="1" x14ac:dyDescent="0.3">
      <c r="A20" s="145" t="s">
        <v>63</v>
      </c>
      <c r="B20" s="125"/>
      <c r="C20" s="111"/>
      <c r="G20" s="113"/>
    </row>
    <row r="21" spans="1:14" ht="18" customHeight="1" x14ac:dyDescent="0.3">
      <c r="A21" s="149" t="s">
        <v>63</v>
      </c>
      <c r="B21" s="126"/>
      <c r="C21" s="111"/>
      <c r="D21" s="549" t="s">
        <v>326</v>
      </c>
      <c r="E21" s="497">
        <v>1</v>
      </c>
      <c r="F21" s="497">
        <v>2</v>
      </c>
      <c r="G21" s="113"/>
    </row>
    <row r="22" spans="1:14" ht="25.05" customHeight="1" thickBot="1" x14ac:dyDescent="0.35">
      <c r="A22" s="150" t="s">
        <v>131</v>
      </c>
      <c r="B22" s="127">
        <f>SUM(B16:B21)</f>
        <v>5500000</v>
      </c>
      <c r="C22" s="111"/>
      <c r="D22" s="111"/>
      <c r="E22" s="111"/>
      <c r="F22" s="112"/>
      <c r="G22" s="113"/>
    </row>
    <row r="23" spans="1:14" ht="25.05" customHeight="1" thickTop="1" thickBot="1" x14ac:dyDescent="0.35">
      <c r="A23" s="151" t="s">
        <v>48</v>
      </c>
      <c r="B23" s="128">
        <f>B11-B22</f>
        <v>8921862.0197378285</v>
      </c>
      <c r="C23" s="111"/>
      <c r="D23" s="111"/>
      <c r="E23" s="111"/>
      <c r="F23" s="112"/>
      <c r="G23" s="113"/>
    </row>
    <row r="24" spans="1:14" ht="16.2" x14ac:dyDescent="0.3">
      <c r="A24" s="110"/>
      <c r="B24" s="111"/>
      <c r="C24" s="111"/>
      <c r="D24" s="111"/>
      <c r="E24" s="111"/>
      <c r="F24" s="112"/>
      <c r="G24" s="113"/>
      <c r="H24" s="110"/>
      <c r="I24" s="111"/>
      <c r="J24" s="111"/>
      <c r="K24" s="111"/>
      <c r="L24" s="111"/>
      <c r="M24" s="112"/>
      <c r="N24" s="113"/>
    </row>
    <row r="25" spans="1:14" ht="16.2" x14ac:dyDescent="0.3">
      <c r="A25" s="110"/>
      <c r="B25" s="111"/>
      <c r="C25" s="111"/>
      <c r="D25" s="111"/>
      <c r="E25" s="111"/>
      <c r="F25" s="112"/>
      <c r="G25" s="113"/>
      <c r="H25" s="110"/>
      <c r="I25" s="111"/>
      <c r="J25" s="111"/>
      <c r="K25" s="111"/>
      <c r="L25" s="111"/>
      <c r="M25" s="112"/>
      <c r="N25" s="113"/>
    </row>
    <row r="26" spans="1:14" ht="16.2" x14ac:dyDescent="0.3">
      <c r="A26" s="110"/>
      <c r="B26" s="111"/>
      <c r="C26" s="111"/>
      <c r="D26" s="111"/>
      <c r="E26" s="111"/>
      <c r="F26" s="112"/>
      <c r="G26" s="113"/>
      <c r="H26" s="110"/>
      <c r="I26" s="111"/>
      <c r="J26" s="111"/>
      <c r="K26" s="111"/>
      <c r="L26" s="111"/>
      <c r="M26" s="112"/>
      <c r="N26" s="113"/>
    </row>
    <row r="27" spans="1:14" ht="16.2" x14ac:dyDescent="0.3">
      <c r="A27" s="110"/>
      <c r="B27" s="111"/>
      <c r="C27" s="111"/>
      <c r="D27" s="111"/>
      <c r="E27" s="111"/>
      <c r="F27" s="112"/>
      <c r="G27" s="113"/>
      <c r="H27" s="110"/>
      <c r="I27" s="111"/>
      <c r="J27" s="111"/>
      <c r="K27" s="111"/>
      <c r="L27" s="111"/>
      <c r="M27" s="112"/>
      <c r="N27" s="113"/>
    </row>
    <row r="28" spans="1:14" ht="16.2" x14ac:dyDescent="0.3">
      <c r="A28" s="110"/>
      <c r="B28" s="111"/>
      <c r="C28" s="111"/>
      <c r="D28" s="111"/>
      <c r="E28" s="111"/>
      <c r="F28" s="112"/>
      <c r="G28" s="113"/>
      <c r="H28" s="110"/>
      <c r="I28" s="111"/>
      <c r="J28" s="111"/>
      <c r="K28" s="111"/>
      <c r="L28" s="111"/>
      <c r="M28" s="112"/>
      <c r="N28" s="113"/>
    </row>
    <row r="29" spans="1:14" ht="16.2" x14ac:dyDescent="0.3">
      <c r="A29" s="110"/>
      <c r="B29" s="111"/>
      <c r="C29" s="111"/>
      <c r="D29" s="111"/>
      <c r="E29" s="111"/>
      <c r="F29" s="112"/>
      <c r="G29" s="113"/>
      <c r="H29" s="110"/>
      <c r="I29" s="111"/>
      <c r="J29" s="111"/>
      <c r="K29" s="111"/>
      <c r="L29" s="111"/>
      <c r="M29" s="112"/>
      <c r="N29" s="113"/>
    </row>
    <row r="30" spans="1:14" ht="16.2" x14ac:dyDescent="0.3">
      <c r="A30" s="110"/>
      <c r="B30" s="111"/>
      <c r="C30" s="111"/>
      <c r="D30" s="111"/>
      <c r="E30" s="111"/>
      <c r="F30" s="112"/>
      <c r="G30" s="113"/>
      <c r="H30" s="110"/>
      <c r="I30" s="111"/>
      <c r="J30" s="111"/>
      <c r="K30" s="111"/>
      <c r="L30" s="111"/>
      <c r="M30" s="112"/>
      <c r="N30" s="113"/>
    </row>
    <row r="31" spans="1:14" ht="16.2" x14ac:dyDescent="0.3">
      <c r="A31" s="110"/>
      <c r="B31" s="111"/>
      <c r="C31" s="111"/>
      <c r="D31" s="111"/>
      <c r="E31" s="111"/>
      <c r="F31" s="112"/>
      <c r="G31" s="113"/>
      <c r="H31" s="110"/>
      <c r="I31" s="111"/>
      <c r="J31" s="111"/>
      <c r="K31" s="111"/>
      <c r="L31" s="111"/>
      <c r="M31" s="112"/>
      <c r="N31" s="113"/>
    </row>
    <row r="32" spans="1:14" ht="16.2" x14ac:dyDescent="0.3">
      <c r="A32" s="110"/>
      <c r="B32" s="111"/>
      <c r="C32" s="111"/>
      <c r="D32" s="111"/>
      <c r="E32" s="111"/>
      <c r="F32" s="112"/>
      <c r="G32" s="113"/>
      <c r="H32" s="110"/>
      <c r="I32" s="111"/>
      <c r="J32" s="111"/>
      <c r="K32" s="111"/>
      <c r="L32" s="111"/>
      <c r="M32" s="112"/>
      <c r="N32" s="113"/>
    </row>
    <row r="33" spans="1:14" ht="16.2" x14ac:dyDescent="0.3">
      <c r="A33" s="110"/>
      <c r="B33" s="111"/>
      <c r="C33" s="111"/>
      <c r="D33" s="111"/>
      <c r="E33" s="111"/>
      <c r="F33" s="112"/>
      <c r="G33" s="113"/>
      <c r="H33" s="110"/>
      <c r="I33" s="111"/>
      <c r="J33" s="111"/>
      <c r="K33" s="111"/>
      <c r="L33" s="111"/>
      <c r="M33" s="112"/>
      <c r="N33" s="113"/>
    </row>
    <row r="34" spans="1:14" ht="16.2" x14ac:dyDescent="0.3">
      <c r="A34" s="110"/>
      <c r="B34" s="111"/>
      <c r="C34" s="111"/>
      <c r="D34" s="111"/>
      <c r="E34" s="111"/>
      <c r="F34" s="112"/>
      <c r="G34" s="113"/>
      <c r="H34" s="110"/>
      <c r="I34" s="111"/>
      <c r="J34" s="111"/>
      <c r="K34" s="111"/>
      <c r="L34" s="111"/>
      <c r="M34" s="112"/>
      <c r="N34" s="113"/>
    </row>
    <row r="35" spans="1:14" ht="16.2" x14ac:dyDescent="0.3">
      <c r="A35" s="110"/>
      <c r="B35" s="111"/>
      <c r="C35" s="111"/>
      <c r="D35" s="111"/>
      <c r="E35" s="111"/>
      <c r="F35" s="112"/>
      <c r="G35" s="113"/>
      <c r="H35" s="110"/>
      <c r="I35" s="111"/>
      <c r="J35" s="111"/>
      <c r="K35" s="111"/>
      <c r="L35" s="111"/>
      <c r="M35" s="112"/>
      <c r="N35" s="113"/>
    </row>
    <row r="36" spans="1:14" ht="16.2" x14ac:dyDescent="0.3">
      <c r="A36" s="110"/>
      <c r="B36" s="111"/>
      <c r="C36" s="111"/>
      <c r="D36" s="111"/>
      <c r="E36" s="111"/>
      <c r="F36" s="112"/>
      <c r="G36" s="113"/>
      <c r="H36" s="110"/>
      <c r="I36" s="111"/>
      <c r="J36" s="111"/>
      <c r="K36" s="111"/>
      <c r="L36" s="111"/>
      <c r="M36" s="112"/>
      <c r="N36" s="113"/>
    </row>
    <row r="37" spans="1:14" ht="16.2" x14ac:dyDescent="0.3">
      <c r="A37" s="110"/>
      <c r="B37" s="111"/>
      <c r="C37" s="111"/>
      <c r="D37" s="111"/>
      <c r="E37" s="111"/>
      <c r="F37" s="112"/>
      <c r="G37" s="113"/>
      <c r="H37" s="110"/>
      <c r="I37" s="111"/>
      <c r="J37" s="111"/>
      <c r="K37" s="111"/>
      <c r="L37" s="111"/>
      <c r="M37" s="112"/>
      <c r="N37" s="113"/>
    </row>
    <row r="38" spans="1:14" ht="16.2" x14ac:dyDescent="0.3">
      <c r="A38" s="110"/>
      <c r="B38" s="111"/>
      <c r="C38" s="111"/>
      <c r="D38" s="111"/>
      <c r="E38" s="111"/>
      <c r="F38" s="112"/>
      <c r="G38" s="113"/>
      <c r="H38" s="110"/>
      <c r="I38" s="111"/>
      <c r="J38" s="111"/>
      <c r="K38" s="111"/>
      <c r="L38" s="111"/>
      <c r="M38" s="112"/>
      <c r="N38" s="113"/>
    </row>
    <row r="41" spans="1:14" ht="27" customHeight="1" thickBot="1" x14ac:dyDescent="0.35">
      <c r="A41" s="129" t="s">
        <v>132</v>
      </c>
      <c r="B41" s="130"/>
      <c r="C41" s="130"/>
      <c r="D41" s="130"/>
      <c r="E41" s="130"/>
      <c r="F41" s="130"/>
      <c r="G41" s="130"/>
    </row>
    <row r="42" spans="1:14" ht="25.05" customHeight="1" thickBot="1" x14ac:dyDescent="0.35">
      <c r="A42" s="551" t="s">
        <v>129</v>
      </c>
      <c r="B42" s="552" t="s">
        <v>114</v>
      </c>
      <c r="C42" s="552" t="s">
        <v>120</v>
      </c>
      <c r="D42" s="552" t="s">
        <v>121</v>
      </c>
      <c r="E42" s="552" t="s">
        <v>118</v>
      </c>
      <c r="F42" s="553" t="s">
        <v>117</v>
      </c>
      <c r="G42" s="554" t="s">
        <v>45</v>
      </c>
    </row>
    <row r="43" spans="1:14" ht="18" customHeight="1" thickTop="1" x14ac:dyDescent="0.3">
      <c r="A43" s="143" t="s">
        <v>119</v>
      </c>
      <c r="B43" s="114">
        <v>600000</v>
      </c>
      <c r="C43" s="115" t="s">
        <v>47</v>
      </c>
      <c r="D43" s="116">
        <v>10</v>
      </c>
      <c r="E43" s="117">
        <v>0.6</v>
      </c>
      <c r="F43" s="118">
        <v>0.01</v>
      </c>
      <c r="G43" s="131">
        <f>FV(F43,D43,-B43)*E43</f>
        <v>3766396.5148033709</v>
      </c>
    </row>
    <row r="44" spans="1:14" ht="18" customHeight="1" x14ac:dyDescent="0.3">
      <c r="A44" s="144" t="s">
        <v>111</v>
      </c>
      <c r="B44" s="119">
        <v>4000000</v>
      </c>
      <c r="C44" s="120" t="s">
        <v>123</v>
      </c>
      <c r="D44" s="121">
        <v>1</v>
      </c>
      <c r="E44" s="122">
        <v>0.6</v>
      </c>
      <c r="F44" s="123">
        <v>0</v>
      </c>
      <c r="G44" s="132">
        <f t="shared" ref="G44:G50" si="1">FV(F44,D44,-B44)*E44</f>
        <v>2400000</v>
      </c>
    </row>
    <row r="45" spans="1:14" ht="18" customHeight="1" x14ac:dyDescent="0.3">
      <c r="A45" s="144" t="s">
        <v>112</v>
      </c>
      <c r="B45" s="119">
        <v>120000</v>
      </c>
      <c r="C45" s="120" t="s">
        <v>122</v>
      </c>
      <c r="D45" s="121">
        <v>10</v>
      </c>
      <c r="E45" s="122">
        <v>1</v>
      </c>
      <c r="F45" s="123">
        <v>0.01</v>
      </c>
      <c r="G45" s="132">
        <f t="shared" si="1"/>
        <v>1255465.5049344569</v>
      </c>
    </row>
    <row r="46" spans="1:14" ht="18" customHeight="1" x14ac:dyDescent="0.3">
      <c r="A46" s="144" t="s">
        <v>113</v>
      </c>
      <c r="B46" s="119">
        <v>10000000</v>
      </c>
      <c r="C46" s="120" t="s">
        <v>123</v>
      </c>
      <c r="D46" s="121">
        <v>1</v>
      </c>
      <c r="E46" s="122">
        <v>0.6</v>
      </c>
      <c r="F46" s="123">
        <v>0</v>
      </c>
      <c r="G46" s="132">
        <f t="shared" si="1"/>
        <v>6000000</v>
      </c>
    </row>
    <row r="47" spans="1:14" ht="18" customHeight="1" x14ac:dyDescent="0.3">
      <c r="A47" s="145" t="s">
        <v>115</v>
      </c>
      <c r="B47" s="119">
        <v>1000000</v>
      </c>
      <c r="C47" s="120" t="s">
        <v>123</v>
      </c>
      <c r="D47" s="121">
        <v>1</v>
      </c>
      <c r="E47" s="122">
        <v>1</v>
      </c>
      <c r="F47" s="123">
        <v>0</v>
      </c>
      <c r="G47" s="132">
        <f t="shared" si="1"/>
        <v>1000000</v>
      </c>
    </row>
    <row r="48" spans="1:14" ht="18" customHeight="1" x14ac:dyDescent="0.3">
      <c r="A48" s="145"/>
      <c r="B48" s="119"/>
      <c r="C48" s="120"/>
      <c r="D48" s="124"/>
      <c r="E48" s="122"/>
      <c r="F48" s="123"/>
      <c r="G48" s="132">
        <f t="shared" si="1"/>
        <v>0</v>
      </c>
    </row>
    <row r="49" spans="1:7" ht="18" customHeight="1" x14ac:dyDescent="0.3">
      <c r="A49" s="144"/>
      <c r="B49" s="119"/>
      <c r="C49" s="120"/>
      <c r="D49" s="124"/>
      <c r="E49" s="122"/>
      <c r="F49" s="123"/>
      <c r="G49" s="132">
        <f t="shared" si="1"/>
        <v>0</v>
      </c>
    </row>
    <row r="50" spans="1:7" ht="18" customHeight="1" thickBot="1" x14ac:dyDescent="0.35">
      <c r="A50" s="146"/>
      <c r="B50" s="137"/>
      <c r="C50" s="138"/>
      <c r="D50" s="139"/>
      <c r="E50" s="140"/>
      <c r="F50" s="141"/>
      <c r="G50" s="142">
        <f t="shared" si="1"/>
        <v>0</v>
      </c>
    </row>
    <row r="51" spans="1:7" ht="25.05" customHeight="1" thickTop="1" thickBot="1" x14ac:dyDescent="0.35">
      <c r="A51" s="147" t="s">
        <v>130</v>
      </c>
      <c r="B51" s="134">
        <f>SUM(G43:G50)</f>
        <v>14421862.019737829</v>
      </c>
      <c r="C51" s="135"/>
      <c r="D51" s="135"/>
      <c r="E51" s="135"/>
      <c r="F51" s="135"/>
      <c r="G51" s="136"/>
    </row>
    <row r="52" spans="1:7" ht="16.2" x14ac:dyDescent="0.3">
      <c r="A52" s="110"/>
      <c r="B52" s="111"/>
      <c r="C52" s="111"/>
      <c r="D52" s="111"/>
      <c r="E52" s="111"/>
      <c r="F52" s="112"/>
      <c r="G52" s="113"/>
    </row>
    <row r="53" spans="1:7" ht="16.2" x14ac:dyDescent="0.3">
      <c r="A53" s="110"/>
      <c r="B53" s="111"/>
      <c r="C53" s="111"/>
      <c r="D53" s="111"/>
      <c r="E53" s="111"/>
      <c r="F53" s="112"/>
      <c r="G53" s="113"/>
    </row>
    <row r="54" spans="1:7" ht="16.2" thickBot="1" x14ac:dyDescent="0.35">
      <c r="A54" s="694" t="s">
        <v>133</v>
      </c>
      <c r="B54" s="694"/>
      <c r="C54" s="111"/>
      <c r="G54" s="113"/>
    </row>
    <row r="55" spans="1:7" ht="25.05" customHeight="1" thickBot="1" x14ac:dyDescent="0.35">
      <c r="A55" s="551" t="s">
        <v>128</v>
      </c>
      <c r="B55" s="554" t="s">
        <v>46</v>
      </c>
      <c r="C55" s="111"/>
      <c r="D55" s="555" t="s">
        <v>327</v>
      </c>
      <c r="E55" s="555" t="s">
        <v>287</v>
      </c>
      <c r="F55" s="555" t="s">
        <v>288</v>
      </c>
      <c r="G55" s="113"/>
    </row>
    <row r="56" spans="1:7" ht="18" customHeight="1" thickTop="1" x14ac:dyDescent="0.3">
      <c r="A56" s="143" t="s">
        <v>124</v>
      </c>
      <c r="B56" s="133">
        <v>1000000</v>
      </c>
      <c r="C56" s="111"/>
      <c r="D56" s="550" t="s">
        <v>284</v>
      </c>
      <c r="E56" s="459">
        <f>B62/10000</f>
        <v>750</v>
      </c>
      <c r="F56" s="459">
        <f>B51/10000</f>
        <v>1442.1862019737828</v>
      </c>
      <c r="G56" s="113"/>
    </row>
    <row r="57" spans="1:7" ht="18" customHeight="1" x14ac:dyDescent="0.3">
      <c r="A57" s="148" t="s">
        <v>125</v>
      </c>
      <c r="B57" s="125">
        <v>500000</v>
      </c>
      <c r="C57" s="111"/>
      <c r="D57" s="550" t="s">
        <v>285</v>
      </c>
      <c r="E57" s="459">
        <v>100</v>
      </c>
      <c r="F57" s="459">
        <v>400</v>
      </c>
      <c r="G57" s="113"/>
    </row>
    <row r="58" spans="1:7" ht="18" customHeight="1" x14ac:dyDescent="0.3">
      <c r="A58" s="148" t="s">
        <v>116</v>
      </c>
      <c r="B58" s="125">
        <v>2000000</v>
      </c>
      <c r="C58" s="111"/>
      <c r="D58" s="550" t="s">
        <v>286</v>
      </c>
      <c r="E58" s="459">
        <v>150</v>
      </c>
      <c r="F58" s="459">
        <v>450</v>
      </c>
      <c r="G58" s="113"/>
    </row>
    <row r="59" spans="1:7" ht="18" customHeight="1" x14ac:dyDescent="0.3">
      <c r="A59" s="148" t="s">
        <v>126</v>
      </c>
      <c r="B59" s="125">
        <v>2000000</v>
      </c>
      <c r="C59" s="111"/>
      <c r="D59" s="549" t="s">
        <v>325</v>
      </c>
      <c r="E59" s="459">
        <v>200</v>
      </c>
      <c r="F59" s="459">
        <v>600</v>
      </c>
      <c r="G59" s="113"/>
    </row>
    <row r="60" spans="1:7" ht="18" customHeight="1" x14ac:dyDescent="0.3">
      <c r="A60" s="145" t="s">
        <v>127</v>
      </c>
      <c r="B60" s="125">
        <v>1000000</v>
      </c>
      <c r="C60" s="111"/>
      <c r="G60" s="113"/>
    </row>
    <row r="61" spans="1:7" ht="18" customHeight="1" x14ac:dyDescent="0.3">
      <c r="A61" s="149" t="s">
        <v>125</v>
      </c>
      <c r="B61" s="126">
        <v>1000000</v>
      </c>
      <c r="C61" s="111"/>
      <c r="D61" s="549" t="s">
        <v>326</v>
      </c>
      <c r="E61" s="497">
        <v>1</v>
      </c>
      <c r="F61" s="497">
        <v>2</v>
      </c>
      <c r="G61" s="113"/>
    </row>
    <row r="62" spans="1:7" ht="25.05" customHeight="1" thickBot="1" x14ac:dyDescent="0.35">
      <c r="A62" s="150" t="s">
        <v>131</v>
      </c>
      <c r="B62" s="127">
        <f>SUM(B56:B61)</f>
        <v>7500000</v>
      </c>
      <c r="C62" s="111"/>
      <c r="G62" s="113"/>
    </row>
    <row r="63" spans="1:7" ht="25.05" customHeight="1" thickTop="1" thickBot="1" x14ac:dyDescent="0.35">
      <c r="A63" s="151" t="s">
        <v>48</v>
      </c>
      <c r="B63" s="128">
        <f>B51-B62</f>
        <v>6921862.0197378285</v>
      </c>
      <c r="C63" s="111"/>
      <c r="D63" s="111"/>
      <c r="E63" s="111"/>
      <c r="F63" s="112"/>
      <c r="G63" s="113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3" spans="1:7" s="313" customFormat="1" ht="27" customHeight="1" thickBot="1" x14ac:dyDescent="0.35">
      <c r="A83" s="129" t="s">
        <v>341</v>
      </c>
      <c r="B83" s="615"/>
      <c r="C83" s="615"/>
      <c r="D83" s="615"/>
      <c r="E83" s="615"/>
      <c r="F83" s="615"/>
      <c r="G83" s="615"/>
    </row>
    <row r="84" spans="1:7" s="313" customFormat="1" ht="25.05" customHeight="1" thickBot="1" x14ac:dyDescent="0.35">
      <c r="A84" s="551" t="s">
        <v>129</v>
      </c>
      <c r="B84" s="552" t="s">
        <v>114</v>
      </c>
      <c r="C84" s="552" t="s">
        <v>120</v>
      </c>
      <c r="D84" s="552" t="s">
        <v>121</v>
      </c>
      <c r="E84" s="552" t="s">
        <v>118</v>
      </c>
      <c r="F84" s="553" t="s">
        <v>117</v>
      </c>
      <c r="G84" s="554" t="s">
        <v>45</v>
      </c>
    </row>
    <row r="85" spans="1:7" s="313" customFormat="1" ht="18" customHeight="1" thickTop="1" x14ac:dyDescent="0.3">
      <c r="A85" s="143" t="s">
        <v>119</v>
      </c>
      <c r="B85" s="114">
        <v>600000</v>
      </c>
      <c r="C85" s="115" t="s">
        <v>47</v>
      </c>
      <c r="D85" s="116">
        <v>10</v>
      </c>
      <c r="E85" s="117">
        <v>0.6</v>
      </c>
      <c r="F85" s="118">
        <v>0.01</v>
      </c>
      <c r="G85" s="131">
        <f>FV(F85,D85,-B85)*E85</f>
        <v>3766396.5148033709</v>
      </c>
    </row>
    <row r="86" spans="1:7" s="313" customFormat="1" ht="18" customHeight="1" x14ac:dyDescent="0.3">
      <c r="A86" s="144" t="s">
        <v>111</v>
      </c>
      <c r="B86" s="119">
        <v>4000000</v>
      </c>
      <c r="C86" s="120" t="s">
        <v>123</v>
      </c>
      <c r="D86" s="121">
        <v>1</v>
      </c>
      <c r="E86" s="122">
        <v>0.6</v>
      </c>
      <c r="F86" s="123">
        <v>0</v>
      </c>
      <c r="G86" s="132">
        <f t="shared" ref="G86:G92" si="2">FV(F86,D86,-B86)*E86</f>
        <v>2400000</v>
      </c>
    </row>
    <row r="87" spans="1:7" s="313" customFormat="1" ht="18" customHeight="1" x14ac:dyDescent="0.3">
      <c r="A87" s="144" t="s">
        <v>112</v>
      </c>
      <c r="B87" s="119">
        <v>120000</v>
      </c>
      <c r="C87" s="120" t="s">
        <v>122</v>
      </c>
      <c r="D87" s="121">
        <v>10</v>
      </c>
      <c r="E87" s="122">
        <v>1</v>
      </c>
      <c r="F87" s="123">
        <v>0.01</v>
      </c>
      <c r="G87" s="132">
        <f t="shared" si="2"/>
        <v>1255465.5049344569</v>
      </c>
    </row>
    <row r="88" spans="1:7" s="313" customFormat="1" ht="18" customHeight="1" x14ac:dyDescent="0.3">
      <c r="A88" s="144" t="s">
        <v>113</v>
      </c>
      <c r="B88" s="119">
        <v>10000000</v>
      </c>
      <c r="C88" s="120" t="s">
        <v>123</v>
      </c>
      <c r="D88" s="121">
        <v>1</v>
      </c>
      <c r="E88" s="122">
        <v>0.6</v>
      </c>
      <c r="F88" s="123">
        <v>0</v>
      </c>
      <c r="G88" s="132">
        <f t="shared" si="2"/>
        <v>6000000</v>
      </c>
    </row>
    <row r="89" spans="1:7" s="313" customFormat="1" ht="18" customHeight="1" x14ac:dyDescent="0.3">
      <c r="A89" s="145" t="s">
        <v>115</v>
      </c>
      <c r="B89" s="119">
        <v>1000000</v>
      </c>
      <c r="C89" s="120" t="s">
        <v>123</v>
      </c>
      <c r="D89" s="121">
        <v>1</v>
      </c>
      <c r="E89" s="122">
        <v>1</v>
      </c>
      <c r="F89" s="123">
        <v>0</v>
      </c>
      <c r="G89" s="132">
        <f t="shared" si="2"/>
        <v>1000000</v>
      </c>
    </row>
    <row r="90" spans="1:7" s="313" customFormat="1" ht="18" customHeight="1" x14ac:dyDescent="0.3">
      <c r="A90" s="145"/>
      <c r="B90" s="119"/>
      <c r="C90" s="120"/>
      <c r="D90" s="124"/>
      <c r="E90" s="122"/>
      <c r="F90" s="123"/>
      <c r="G90" s="132">
        <f t="shared" si="2"/>
        <v>0</v>
      </c>
    </row>
    <row r="91" spans="1:7" s="313" customFormat="1" ht="18" customHeight="1" x14ac:dyDescent="0.3">
      <c r="A91" s="144"/>
      <c r="B91" s="119"/>
      <c r="C91" s="120"/>
      <c r="D91" s="124"/>
      <c r="E91" s="122"/>
      <c r="F91" s="123"/>
      <c r="G91" s="132">
        <f t="shared" si="2"/>
        <v>0</v>
      </c>
    </row>
    <row r="92" spans="1:7" s="313" customFormat="1" ht="18" customHeight="1" thickBot="1" x14ac:dyDescent="0.35">
      <c r="A92" s="146"/>
      <c r="B92" s="137"/>
      <c r="C92" s="138"/>
      <c r="D92" s="139"/>
      <c r="E92" s="140"/>
      <c r="F92" s="141"/>
      <c r="G92" s="142">
        <f t="shared" si="2"/>
        <v>0</v>
      </c>
    </row>
    <row r="93" spans="1:7" s="313" customFormat="1" ht="25.05" customHeight="1" thickTop="1" thickBot="1" x14ac:dyDescent="0.35">
      <c r="A93" s="147" t="s">
        <v>130</v>
      </c>
      <c r="B93" s="134">
        <f>SUM(G85:G92)</f>
        <v>14421862.019737829</v>
      </c>
      <c r="C93" s="135"/>
      <c r="D93" s="135"/>
      <c r="E93" s="135"/>
      <c r="F93" s="135"/>
      <c r="G93" s="136"/>
    </row>
    <row r="94" spans="1:7" s="313" customFormat="1" ht="16.2" x14ac:dyDescent="0.3">
      <c r="A94" s="110"/>
      <c r="B94" s="111"/>
      <c r="C94" s="111"/>
      <c r="D94" s="111"/>
      <c r="E94" s="111"/>
      <c r="F94" s="112"/>
      <c r="G94" s="113"/>
    </row>
    <row r="95" spans="1:7" s="313" customFormat="1" ht="16.2" x14ac:dyDescent="0.3">
      <c r="A95" s="110"/>
      <c r="B95" s="111"/>
      <c r="C95" s="111"/>
      <c r="D95" s="111"/>
      <c r="E95" s="111"/>
      <c r="F95" s="112"/>
      <c r="G95" s="113"/>
    </row>
    <row r="96" spans="1:7" s="313" customFormat="1" ht="16.2" thickBot="1" x14ac:dyDescent="0.35">
      <c r="A96" s="694" t="s">
        <v>133</v>
      </c>
      <c r="B96" s="694"/>
      <c r="C96" s="111"/>
      <c r="G96" s="113"/>
    </row>
    <row r="97" spans="1:7" s="313" customFormat="1" ht="25.05" customHeight="1" thickBot="1" x14ac:dyDescent="0.35">
      <c r="A97" s="551" t="s">
        <v>128</v>
      </c>
      <c r="B97" s="554" t="s">
        <v>46</v>
      </c>
      <c r="C97" s="111"/>
      <c r="D97" s="555" t="s">
        <v>327</v>
      </c>
      <c r="E97" s="555" t="s">
        <v>287</v>
      </c>
      <c r="F97" s="555" t="s">
        <v>288</v>
      </c>
      <c r="G97" s="113"/>
    </row>
    <row r="98" spans="1:7" s="313" customFormat="1" ht="18" customHeight="1" thickTop="1" x14ac:dyDescent="0.3">
      <c r="A98" s="143" t="s">
        <v>124</v>
      </c>
      <c r="B98" s="133">
        <v>1000000</v>
      </c>
      <c r="C98" s="111"/>
      <c r="D98" s="550" t="s">
        <v>284</v>
      </c>
      <c r="E98" s="459">
        <f>B104/10000</f>
        <v>750</v>
      </c>
      <c r="F98" s="459">
        <f>B93/10000</f>
        <v>1442.1862019737828</v>
      </c>
      <c r="G98" s="113"/>
    </row>
    <row r="99" spans="1:7" s="313" customFormat="1" ht="18" customHeight="1" x14ac:dyDescent="0.3">
      <c r="A99" s="148" t="s">
        <v>125</v>
      </c>
      <c r="B99" s="125">
        <v>500000</v>
      </c>
      <c r="C99" s="111"/>
      <c r="D99" s="550" t="s">
        <v>285</v>
      </c>
      <c r="E99" s="459">
        <v>100</v>
      </c>
      <c r="F99" s="459">
        <v>400</v>
      </c>
      <c r="G99" s="113"/>
    </row>
    <row r="100" spans="1:7" s="313" customFormat="1" ht="18" customHeight="1" x14ac:dyDescent="0.3">
      <c r="A100" s="148" t="s">
        <v>116</v>
      </c>
      <c r="B100" s="125">
        <v>2000000</v>
      </c>
      <c r="C100" s="111"/>
      <c r="D100" s="550" t="s">
        <v>286</v>
      </c>
      <c r="E100" s="459">
        <v>150</v>
      </c>
      <c r="F100" s="459">
        <v>450</v>
      </c>
      <c r="G100" s="113"/>
    </row>
    <row r="101" spans="1:7" s="313" customFormat="1" ht="18" customHeight="1" x14ac:dyDescent="0.3">
      <c r="A101" s="148" t="s">
        <v>126</v>
      </c>
      <c r="B101" s="125">
        <v>2000000</v>
      </c>
      <c r="C101" s="111"/>
      <c r="D101" s="549" t="s">
        <v>325</v>
      </c>
      <c r="E101" s="459">
        <v>200</v>
      </c>
      <c r="F101" s="459">
        <v>600</v>
      </c>
      <c r="G101" s="113"/>
    </row>
    <row r="102" spans="1:7" s="313" customFormat="1" ht="18" customHeight="1" x14ac:dyDescent="0.3">
      <c r="A102" s="145" t="s">
        <v>127</v>
      </c>
      <c r="B102" s="125">
        <v>1000000</v>
      </c>
      <c r="C102" s="111"/>
      <c r="G102" s="113"/>
    </row>
    <row r="103" spans="1:7" s="313" customFormat="1" ht="18" customHeight="1" x14ac:dyDescent="0.3">
      <c r="A103" s="149" t="s">
        <v>125</v>
      </c>
      <c r="B103" s="126">
        <v>1000000</v>
      </c>
      <c r="C103" s="111"/>
      <c r="D103" s="549" t="s">
        <v>326</v>
      </c>
      <c r="E103" s="497">
        <v>1</v>
      </c>
      <c r="F103" s="497">
        <v>2</v>
      </c>
      <c r="G103" s="113"/>
    </row>
    <row r="104" spans="1:7" s="313" customFormat="1" ht="25.05" customHeight="1" thickBot="1" x14ac:dyDescent="0.35">
      <c r="A104" s="150" t="s">
        <v>131</v>
      </c>
      <c r="B104" s="127">
        <f>SUM(B98:B103)</f>
        <v>7500000</v>
      </c>
      <c r="C104" s="111"/>
      <c r="G104" s="113"/>
    </row>
    <row r="105" spans="1:7" s="313" customFormat="1" ht="25.05" customHeight="1" thickTop="1" thickBot="1" x14ac:dyDescent="0.35">
      <c r="A105" s="151" t="s">
        <v>48</v>
      </c>
      <c r="B105" s="128">
        <f>B93-B104</f>
        <v>6921862.0197378285</v>
      </c>
      <c r="C105" s="111"/>
      <c r="D105" s="111"/>
      <c r="E105" s="111"/>
      <c r="F105" s="112"/>
      <c r="G105" s="113"/>
    </row>
    <row r="106" spans="1:7" s="313" customFormat="1" x14ac:dyDescent="0.3"/>
    <row r="107" spans="1:7" s="313" customFormat="1" x14ac:dyDescent="0.3"/>
    <row r="108" spans="1:7" s="313" customFormat="1" x14ac:dyDescent="0.3"/>
    <row r="109" spans="1:7" s="313" customFormat="1" x14ac:dyDescent="0.3"/>
    <row r="110" spans="1:7" s="313" customFormat="1" x14ac:dyDescent="0.3"/>
    <row r="111" spans="1:7" s="313" customFormat="1" x14ac:dyDescent="0.3"/>
    <row r="112" spans="1:7" s="313" customFormat="1" x14ac:dyDescent="0.3"/>
    <row r="113" spans="1:7" s="313" customFormat="1" x14ac:dyDescent="0.3"/>
    <row r="114" spans="1:7" s="313" customFormat="1" x14ac:dyDescent="0.3"/>
    <row r="115" spans="1:7" s="313" customFormat="1" x14ac:dyDescent="0.3"/>
    <row r="116" spans="1:7" s="313" customFormat="1" x14ac:dyDescent="0.3"/>
    <row r="117" spans="1:7" s="313" customFormat="1" x14ac:dyDescent="0.3"/>
    <row r="118" spans="1:7" s="313" customFormat="1" x14ac:dyDescent="0.3"/>
    <row r="119" spans="1:7" s="313" customFormat="1" x14ac:dyDescent="0.3"/>
    <row r="120" spans="1:7" s="313" customFormat="1" x14ac:dyDescent="0.3"/>
    <row r="121" spans="1:7" s="313" customFormat="1" x14ac:dyDescent="0.3"/>
    <row r="122" spans="1:7" s="313" customFormat="1" x14ac:dyDescent="0.3"/>
    <row r="123" spans="1:7" s="313" customFormat="1" x14ac:dyDescent="0.3"/>
    <row r="124" spans="1:7" s="313" customFormat="1" x14ac:dyDescent="0.3"/>
    <row r="125" spans="1:7" s="313" customFormat="1" ht="27" customHeight="1" thickBot="1" x14ac:dyDescent="0.35">
      <c r="A125" s="129" t="s">
        <v>342</v>
      </c>
      <c r="B125" s="615"/>
      <c r="C125" s="615"/>
      <c r="D125" s="615"/>
      <c r="E125" s="615"/>
      <c r="F125" s="615"/>
      <c r="G125" s="615"/>
    </row>
    <row r="126" spans="1:7" s="313" customFormat="1" ht="25.05" customHeight="1" thickBot="1" x14ac:dyDescent="0.35">
      <c r="A126" s="551" t="s">
        <v>129</v>
      </c>
      <c r="B126" s="552" t="s">
        <v>114</v>
      </c>
      <c r="C126" s="552" t="s">
        <v>120</v>
      </c>
      <c r="D126" s="552" t="s">
        <v>121</v>
      </c>
      <c r="E126" s="552" t="s">
        <v>118</v>
      </c>
      <c r="F126" s="553" t="s">
        <v>117</v>
      </c>
      <c r="G126" s="554" t="s">
        <v>45</v>
      </c>
    </row>
    <row r="127" spans="1:7" s="313" customFormat="1" ht="18" customHeight="1" thickTop="1" x14ac:dyDescent="0.3">
      <c r="A127" s="143" t="s">
        <v>119</v>
      </c>
      <c r="B127" s="114">
        <v>600000</v>
      </c>
      <c r="C127" s="115" t="s">
        <v>47</v>
      </c>
      <c r="D127" s="116">
        <v>10</v>
      </c>
      <c r="E127" s="117">
        <v>0.6</v>
      </c>
      <c r="F127" s="118">
        <v>0.01</v>
      </c>
      <c r="G127" s="131">
        <f>FV(F127,D127,-B127)*E127</f>
        <v>3766396.5148033709</v>
      </c>
    </row>
    <row r="128" spans="1:7" s="313" customFormat="1" ht="18" customHeight="1" x14ac:dyDescent="0.3">
      <c r="A128" s="144" t="s">
        <v>111</v>
      </c>
      <c r="B128" s="119">
        <v>4000000</v>
      </c>
      <c r="C128" s="120" t="s">
        <v>123</v>
      </c>
      <c r="D128" s="121">
        <v>1</v>
      </c>
      <c r="E128" s="122">
        <v>0.6</v>
      </c>
      <c r="F128" s="123">
        <v>0</v>
      </c>
      <c r="G128" s="132">
        <f t="shared" ref="G128:G134" si="3">FV(F128,D128,-B128)*E128</f>
        <v>2400000</v>
      </c>
    </row>
    <row r="129" spans="1:7" s="313" customFormat="1" ht="18" customHeight="1" x14ac:dyDescent="0.3">
      <c r="A129" s="144" t="s">
        <v>112</v>
      </c>
      <c r="B129" s="119">
        <v>120000</v>
      </c>
      <c r="C129" s="120" t="s">
        <v>122</v>
      </c>
      <c r="D129" s="121">
        <v>10</v>
      </c>
      <c r="E129" s="122">
        <v>1</v>
      </c>
      <c r="F129" s="123">
        <v>0.01</v>
      </c>
      <c r="G129" s="132">
        <f t="shared" si="3"/>
        <v>1255465.5049344569</v>
      </c>
    </row>
    <row r="130" spans="1:7" s="313" customFormat="1" ht="18" customHeight="1" x14ac:dyDescent="0.3">
      <c r="A130" s="144" t="s">
        <v>113</v>
      </c>
      <c r="B130" s="119">
        <v>10000000</v>
      </c>
      <c r="C130" s="120" t="s">
        <v>123</v>
      </c>
      <c r="D130" s="121">
        <v>1</v>
      </c>
      <c r="E130" s="122">
        <v>0.6</v>
      </c>
      <c r="F130" s="123">
        <v>0</v>
      </c>
      <c r="G130" s="132">
        <f t="shared" si="3"/>
        <v>6000000</v>
      </c>
    </row>
    <row r="131" spans="1:7" s="313" customFormat="1" ht="18" customHeight="1" x14ac:dyDescent="0.3">
      <c r="A131" s="145" t="s">
        <v>115</v>
      </c>
      <c r="B131" s="119">
        <v>1000000</v>
      </c>
      <c r="C131" s="120" t="s">
        <v>123</v>
      </c>
      <c r="D131" s="121">
        <v>1</v>
      </c>
      <c r="E131" s="122">
        <v>1</v>
      </c>
      <c r="F131" s="123">
        <v>0</v>
      </c>
      <c r="G131" s="132">
        <f t="shared" si="3"/>
        <v>1000000</v>
      </c>
    </row>
    <row r="132" spans="1:7" s="313" customFormat="1" ht="18" customHeight="1" x14ac:dyDescent="0.3">
      <c r="A132" s="145"/>
      <c r="B132" s="119"/>
      <c r="C132" s="120"/>
      <c r="D132" s="124"/>
      <c r="E132" s="122"/>
      <c r="F132" s="123"/>
      <c r="G132" s="132">
        <f t="shared" si="3"/>
        <v>0</v>
      </c>
    </row>
    <row r="133" spans="1:7" s="313" customFormat="1" ht="18" customHeight="1" x14ac:dyDescent="0.3">
      <c r="A133" s="144"/>
      <c r="B133" s="119"/>
      <c r="C133" s="120"/>
      <c r="D133" s="124"/>
      <c r="E133" s="122"/>
      <c r="F133" s="123"/>
      <c r="G133" s="132">
        <f t="shared" si="3"/>
        <v>0</v>
      </c>
    </row>
    <row r="134" spans="1:7" s="313" customFormat="1" ht="18" customHeight="1" thickBot="1" x14ac:dyDescent="0.35">
      <c r="A134" s="146"/>
      <c r="B134" s="137"/>
      <c r="C134" s="138"/>
      <c r="D134" s="139"/>
      <c r="E134" s="140"/>
      <c r="F134" s="141"/>
      <c r="G134" s="142">
        <f t="shared" si="3"/>
        <v>0</v>
      </c>
    </row>
    <row r="135" spans="1:7" s="313" customFormat="1" ht="25.05" customHeight="1" thickTop="1" thickBot="1" x14ac:dyDescent="0.35">
      <c r="A135" s="147" t="s">
        <v>130</v>
      </c>
      <c r="B135" s="134">
        <f>SUM(G127:G134)</f>
        <v>14421862.019737829</v>
      </c>
      <c r="C135" s="135"/>
      <c r="D135" s="135"/>
      <c r="E135" s="135"/>
      <c r="F135" s="135"/>
      <c r="G135" s="136"/>
    </row>
    <row r="136" spans="1:7" s="313" customFormat="1" ht="16.2" x14ac:dyDescent="0.3">
      <c r="A136" s="110"/>
      <c r="B136" s="111"/>
      <c r="C136" s="111"/>
      <c r="D136" s="111"/>
      <c r="E136" s="111"/>
      <c r="F136" s="112"/>
      <c r="G136" s="113"/>
    </row>
    <row r="137" spans="1:7" s="313" customFormat="1" ht="16.2" x14ac:dyDescent="0.3">
      <c r="A137" s="110"/>
      <c r="B137" s="111"/>
      <c r="C137" s="111"/>
      <c r="D137" s="111"/>
      <c r="E137" s="111"/>
      <c r="F137" s="112"/>
      <c r="G137" s="113"/>
    </row>
    <row r="138" spans="1:7" s="313" customFormat="1" ht="16.2" thickBot="1" x14ac:dyDescent="0.35">
      <c r="A138" s="694" t="s">
        <v>133</v>
      </c>
      <c r="B138" s="694"/>
      <c r="C138" s="111"/>
      <c r="G138" s="113"/>
    </row>
    <row r="139" spans="1:7" s="313" customFormat="1" ht="25.05" customHeight="1" thickBot="1" x14ac:dyDescent="0.35">
      <c r="A139" s="551" t="s">
        <v>128</v>
      </c>
      <c r="B139" s="554" t="s">
        <v>46</v>
      </c>
      <c r="C139" s="111"/>
      <c r="D139" s="555" t="s">
        <v>327</v>
      </c>
      <c r="E139" s="555" t="s">
        <v>287</v>
      </c>
      <c r="F139" s="555" t="s">
        <v>288</v>
      </c>
      <c r="G139" s="113"/>
    </row>
    <row r="140" spans="1:7" s="313" customFormat="1" ht="18" customHeight="1" thickTop="1" x14ac:dyDescent="0.3">
      <c r="A140" s="143" t="s">
        <v>124</v>
      </c>
      <c r="B140" s="133">
        <v>1000000</v>
      </c>
      <c r="C140" s="111"/>
      <c r="D140" s="550" t="s">
        <v>284</v>
      </c>
      <c r="E140" s="459">
        <f>B146/10000</f>
        <v>750</v>
      </c>
      <c r="F140" s="459">
        <f>B135/10000</f>
        <v>1442.1862019737828</v>
      </c>
      <c r="G140" s="113"/>
    </row>
    <row r="141" spans="1:7" s="313" customFormat="1" ht="18" customHeight="1" x14ac:dyDescent="0.3">
      <c r="A141" s="148" t="s">
        <v>125</v>
      </c>
      <c r="B141" s="125">
        <v>500000</v>
      </c>
      <c r="C141" s="111"/>
      <c r="D141" s="550" t="s">
        <v>285</v>
      </c>
      <c r="E141" s="459">
        <v>100</v>
      </c>
      <c r="F141" s="459">
        <v>400</v>
      </c>
      <c r="G141" s="113"/>
    </row>
    <row r="142" spans="1:7" s="313" customFormat="1" ht="18" customHeight="1" x14ac:dyDescent="0.3">
      <c r="A142" s="148" t="s">
        <v>116</v>
      </c>
      <c r="B142" s="125">
        <v>2000000</v>
      </c>
      <c r="C142" s="111"/>
      <c r="D142" s="550" t="s">
        <v>286</v>
      </c>
      <c r="E142" s="459">
        <v>150</v>
      </c>
      <c r="F142" s="459">
        <v>450</v>
      </c>
      <c r="G142" s="113"/>
    </row>
    <row r="143" spans="1:7" s="313" customFormat="1" ht="18" customHeight="1" x14ac:dyDescent="0.3">
      <c r="A143" s="148" t="s">
        <v>126</v>
      </c>
      <c r="B143" s="125">
        <v>2000000</v>
      </c>
      <c r="C143" s="111"/>
      <c r="D143" s="549" t="s">
        <v>325</v>
      </c>
      <c r="E143" s="459">
        <v>200</v>
      </c>
      <c r="F143" s="459">
        <v>600</v>
      </c>
      <c r="G143" s="113"/>
    </row>
    <row r="144" spans="1:7" s="313" customFormat="1" ht="18" customHeight="1" x14ac:dyDescent="0.3">
      <c r="A144" s="145" t="s">
        <v>127</v>
      </c>
      <c r="B144" s="125">
        <v>1000000</v>
      </c>
      <c r="C144" s="111"/>
      <c r="G144" s="113"/>
    </row>
    <row r="145" spans="1:7" s="313" customFormat="1" ht="18" customHeight="1" x14ac:dyDescent="0.3">
      <c r="A145" s="149" t="s">
        <v>125</v>
      </c>
      <c r="B145" s="126">
        <v>1000000</v>
      </c>
      <c r="C145" s="111"/>
      <c r="D145" s="549" t="s">
        <v>326</v>
      </c>
      <c r="E145" s="497">
        <v>1</v>
      </c>
      <c r="F145" s="497">
        <v>2</v>
      </c>
      <c r="G145" s="113"/>
    </row>
    <row r="146" spans="1:7" s="313" customFormat="1" ht="25.05" customHeight="1" thickBot="1" x14ac:dyDescent="0.35">
      <c r="A146" s="150" t="s">
        <v>131</v>
      </c>
      <c r="B146" s="127">
        <f>SUM(B140:B145)</f>
        <v>7500000</v>
      </c>
      <c r="C146" s="111"/>
      <c r="G146" s="113"/>
    </row>
    <row r="147" spans="1:7" s="313" customFormat="1" ht="25.05" customHeight="1" thickTop="1" thickBot="1" x14ac:dyDescent="0.35">
      <c r="A147" s="151" t="s">
        <v>48</v>
      </c>
      <c r="B147" s="128">
        <f>B135-B146</f>
        <v>6921862.0197378285</v>
      </c>
      <c r="C147" s="111"/>
      <c r="D147" s="111"/>
      <c r="E147" s="111"/>
      <c r="F147" s="112"/>
      <c r="G147" s="113"/>
    </row>
    <row r="148" spans="1:7" s="313" customFormat="1" x14ac:dyDescent="0.3"/>
    <row r="149" spans="1:7" s="313" customFormat="1" x14ac:dyDescent="0.3"/>
    <row r="150" spans="1:7" s="313" customFormat="1" x14ac:dyDescent="0.3"/>
    <row r="151" spans="1:7" s="313" customFormat="1" x14ac:dyDescent="0.3"/>
    <row r="152" spans="1:7" s="313" customFormat="1" x14ac:dyDescent="0.3"/>
    <row r="153" spans="1:7" s="313" customFormat="1" x14ac:dyDescent="0.3"/>
    <row r="154" spans="1:7" s="313" customFormat="1" x14ac:dyDescent="0.3"/>
    <row r="155" spans="1:7" s="313" customFormat="1" x14ac:dyDescent="0.3"/>
    <row r="156" spans="1:7" s="313" customFormat="1" x14ac:dyDescent="0.3"/>
    <row r="157" spans="1:7" s="313" customFormat="1" x14ac:dyDescent="0.3"/>
    <row r="158" spans="1:7" s="313" customFormat="1" x14ac:dyDescent="0.3"/>
    <row r="159" spans="1:7" s="313" customFormat="1" x14ac:dyDescent="0.3"/>
    <row r="160" spans="1:7" s="313" customFormat="1" x14ac:dyDescent="0.3"/>
    <row r="161" s="313" customFormat="1" x14ac:dyDescent="0.3"/>
    <row r="162" s="313" customFormat="1" x14ac:dyDescent="0.3"/>
    <row r="163" s="313" customFormat="1" x14ac:dyDescent="0.3"/>
    <row r="164" s="313" customFormat="1" x14ac:dyDescent="0.3"/>
    <row r="165" s="313" customFormat="1" x14ac:dyDescent="0.3"/>
    <row r="166" s="313" customFormat="1" x14ac:dyDescent="0.3"/>
  </sheetData>
  <mergeCells count="4">
    <mergeCell ref="A54:B54"/>
    <mergeCell ref="A14:B14"/>
    <mergeCell ref="A96:B96"/>
    <mergeCell ref="A138:B138"/>
  </mergeCells>
  <phoneticPr fontId="6" type="noConversion"/>
  <dataValidations count="3">
    <dataValidation type="list" allowBlank="1" showInputMessage="1" sqref="A3:A10 A43:A50 A85:A92 A127:A134" xr:uid="{50D94C64-7D88-4413-A362-F5790BB9AC7F}">
      <formula1>"遺族生活費用,子女教育金,父母孝養費用,房屋貸款餘額,其他未償債務,父母醫療儲備,生命禮儀費用,醫療欠款儲備,　"</formula1>
    </dataValidation>
    <dataValidation type="list" allowBlank="1" showInputMessage="1" sqref="C3:C10 C43:C50 C85:C92 C127:C134" xr:uid="{E004A759-75F1-4803-929F-9529E08FFE3D}">
      <formula1>"每年,單筆,　"</formula1>
    </dataValidation>
    <dataValidation type="list" allowBlank="1" showInputMessage="1" sqref="A16:A21 A56:A61 A98:A103 A140:A145" xr:uid="{E1CBFF1E-638A-4144-8E19-0C190C900338}">
      <formula1>"定期壽險,終身壽險,生前契約,勞保保險,軍公教保險,　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95C5-F41B-4155-AA8D-2265BDABAA4F}">
  <dimension ref="A1:P133"/>
  <sheetViews>
    <sheetView showGridLines="0" workbookViewId="0">
      <selection activeCell="H63" sqref="H63"/>
    </sheetView>
  </sheetViews>
  <sheetFormatPr defaultRowHeight="15.6" x14ac:dyDescent="0.3"/>
  <cols>
    <col min="1" max="1" width="3.08203125" customWidth="1"/>
    <col min="2" max="2" width="13.9140625" customWidth="1"/>
    <col min="3" max="5" width="10.58203125" customWidth="1"/>
    <col min="6" max="6" width="10.9140625" customWidth="1"/>
    <col min="9" max="9" width="3.08203125" style="313" customWidth="1"/>
    <col min="10" max="10" width="13.9140625" style="313" customWidth="1"/>
    <col min="11" max="13" width="10.58203125" style="313" customWidth="1"/>
    <col min="14" max="14" width="10.9140625" style="313" customWidth="1"/>
    <col min="15" max="16" width="8.6640625" style="313"/>
  </cols>
  <sheetData>
    <row r="1" spans="2:13" x14ac:dyDescent="0.3">
      <c r="H1" s="30"/>
      <c r="I1" s="30"/>
    </row>
    <row r="2" spans="2:13" ht="18" x14ac:dyDescent="0.3">
      <c r="B2" s="472" t="s">
        <v>300</v>
      </c>
      <c r="H2" s="30"/>
      <c r="I2" s="30"/>
      <c r="J2" s="534" t="s">
        <v>301</v>
      </c>
    </row>
    <row r="3" spans="2:13" x14ac:dyDescent="0.3">
      <c r="C3" s="530" t="s">
        <v>223</v>
      </c>
      <c r="D3" s="530" t="s">
        <v>56</v>
      </c>
      <c r="E3" s="530" t="s">
        <v>357</v>
      </c>
      <c r="F3" s="313"/>
      <c r="H3" s="30"/>
      <c r="I3" s="30"/>
      <c r="K3" s="530" t="s">
        <v>223</v>
      </c>
      <c r="L3" s="530" t="s">
        <v>56</v>
      </c>
      <c r="M3" s="530" t="s">
        <v>357</v>
      </c>
    </row>
    <row r="4" spans="2:13" ht="18.600000000000001" x14ac:dyDescent="0.3">
      <c r="C4" s="531">
        <f>SUM(資產配置1b[金額])</f>
        <v>1680</v>
      </c>
      <c r="D4" s="532">
        <f>SUM(資產配置1b[百分比])</f>
        <v>1</v>
      </c>
      <c r="E4" s="533">
        <f>SUMPRODUCT(資產配置1b[百分比],資產配置1b[報酬率])</f>
        <v>3.6904761904761905E-2</v>
      </c>
      <c r="F4" s="313"/>
      <c r="H4" s="30"/>
      <c r="I4" s="30"/>
      <c r="K4" s="531">
        <f>SUM(資產配置1a[金額])</f>
        <v>1680</v>
      </c>
      <c r="L4" s="532">
        <f>SUM(資產配置1a[百分比])</f>
        <v>1</v>
      </c>
      <c r="M4" s="533">
        <f>SUMPRODUCT(資產配置1a[百分比],資產配置1a[報酬率])</f>
        <v>3.6904761904761905E-2</v>
      </c>
    </row>
    <row r="5" spans="2:13" s="30" customFormat="1" ht="25.2" customHeight="1" x14ac:dyDescent="0.3">
      <c r="B5" s="556" t="s">
        <v>358</v>
      </c>
      <c r="J5" s="556" t="s">
        <v>358</v>
      </c>
    </row>
    <row r="6" spans="2:13" ht="19.95" customHeight="1" x14ac:dyDescent="0.3">
      <c r="B6" s="527" t="s">
        <v>49</v>
      </c>
      <c r="C6" s="528" t="s">
        <v>38</v>
      </c>
      <c r="D6" s="528" t="s">
        <v>56</v>
      </c>
      <c r="E6" s="529" t="s">
        <v>136</v>
      </c>
      <c r="F6" s="313"/>
      <c r="H6" s="30"/>
      <c r="I6" s="30"/>
      <c r="J6" s="527" t="s">
        <v>49</v>
      </c>
      <c r="K6" s="528" t="s">
        <v>38</v>
      </c>
      <c r="L6" s="528" t="s">
        <v>56</v>
      </c>
      <c r="M6" s="529" t="s">
        <v>136</v>
      </c>
    </row>
    <row r="7" spans="2:13" ht="19.95" customHeight="1" x14ac:dyDescent="0.3">
      <c r="B7" s="307" t="s">
        <v>50</v>
      </c>
      <c r="C7" s="306">
        <v>70</v>
      </c>
      <c r="D7" s="305">
        <f>資產配置1b[[#This Row],[金額]]/$C$4</f>
        <v>4.1666666666666664E-2</v>
      </c>
      <c r="E7" s="311">
        <v>0.2</v>
      </c>
      <c r="H7" s="30"/>
      <c r="I7" s="30"/>
      <c r="J7" s="307" t="s">
        <v>50</v>
      </c>
      <c r="K7" s="306">
        <v>70</v>
      </c>
      <c r="L7" s="305">
        <f>資產配置1a[[#This Row],[金額]]/$C$4</f>
        <v>4.1666666666666664E-2</v>
      </c>
      <c r="M7" s="311">
        <v>0.2</v>
      </c>
    </row>
    <row r="8" spans="2:13" ht="19.95" customHeight="1" x14ac:dyDescent="0.3">
      <c r="B8" s="307" t="s">
        <v>51</v>
      </c>
      <c r="C8" s="306">
        <v>90</v>
      </c>
      <c r="D8" s="305">
        <f>資產配置1b[[#This Row],[金額]]/$C$4</f>
        <v>5.3571428571428568E-2</v>
      </c>
      <c r="E8" s="311">
        <v>-3.5000000000000003E-2</v>
      </c>
      <c r="H8" s="30"/>
      <c r="I8" s="30"/>
      <c r="J8" s="307" t="s">
        <v>51</v>
      </c>
      <c r="K8" s="306">
        <v>90</v>
      </c>
      <c r="L8" s="305">
        <f>資產配置1a[[#This Row],[金額]]/$C$4</f>
        <v>5.3571428571428568E-2</v>
      </c>
      <c r="M8" s="311">
        <v>-3.5000000000000003E-2</v>
      </c>
    </row>
    <row r="9" spans="2:13" ht="19.95" customHeight="1" x14ac:dyDescent="0.3">
      <c r="B9" s="307" t="s">
        <v>52</v>
      </c>
      <c r="C9" s="306">
        <v>120</v>
      </c>
      <c r="D9" s="305">
        <f>資產配置1b[[#This Row],[金額]]/$C$4</f>
        <v>7.1428571428571425E-2</v>
      </c>
      <c r="E9" s="311">
        <v>0.12</v>
      </c>
      <c r="H9" s="30"/>
      <c r="I9" s="30"/>
      <c r="J9" s="307" t="s">
        <v>52</v>
      </c>
      <c r="K9" s="306">
        <v>120</v>
      </c>
      <c r="L9" s="305">
        <f>資產配置1a[[#This Row],[金額]]/$C$4</f>
        <v>7.1428571428571425E-2</v>
      </c>
      <c r="M9" s="311">
        <v>0.12</v>
      </c>
    </row>
    <row r="10" spans="2:13" ht="19.95" customHeight="1" x14ac:dyDescent="0.3">
      <c r="B10" s="307" t="s">
        <v>53</v>
      </c>
      <c r="C10" s="306">
        <v>250</v>
      </c>
      <c r="D10" s="305">
        <f>資產配置1b[[#This Row],[金額]]/$C$4</f>
        <v>0.14880952380952381</v>
      </c>
      <c r="E10" s="311">
        <v>1.4999999999999999E-2</v>
      </c>
      <c r="H10" s="30"/>
      <c r="I10" s="30"/>
      <c r="J10" s="307" t="s">
        <v>53</v>
      </c>
      <c r="K10" s="306">
        <v>250</v>
      </c>
      <c r="L10" s="305">
        <f>資產配置1a[[#This Row],[金額]]/$C$4</f>
        <v>0.14880952380952381</v>
      </c>
      <c r="M10" s="311">
        <v>1.4999999999999999E-2</v>
      </c>
    </row>
    <row r="11" spans="2:13" ht="19.95" customHeight="1" x14ac:dyDescent="0.3">
      <c r="B11" s="307" t="s">
        <v>54</v>
      </c>
      <c r="C11" s="306">
        <v>300</v>
      </c>
      <c r="D11" s="305">
        <f>資產配置1b[[#This Row],[金額]]/$C$4</f>
        <v>0.17857142857142858</v>
      </c>
      <c r="E11" s="311">
        <v>0.05</v>
      </c>
      <c r="H11" s="30"/>
      <c r="I11" s="30"/>
      <c r="J11" s="307" t="s">
        <v>54</v>
      </c>
      <c r="K11" s="306">
        <v>300</v>
      </c>
      <c r="L11" s="305">
        <f>資產配置1a[[#This Row],[金額]]/$C$4</f>
        <v>0.17857142857142858</v>
      </c>
      <c r="M11" s="311">
        <v>0.05</v>
      </c>
    </row>
    <row r="12" spans="2:13" ht="19.95" customHeight="1" x14ac:dyDescent="0.3">
      <c r="B12" s="307" t="s">
        <v>55</v>
      </c>
      <c r="C12" s="306">
        <v>650</v>
      </c>
      <c r="D12" s="305">
        <f>資產配置1b[[#This Row],[金額]]/$C$4</f>
        <v>0.38690476190476192</v>
      </c>
      <c r="E12" s="311">
        <v>0.04</v>
      </c>
      <c r="H12" s="30"/>
      <c r="I12" s="30"/>
      <c r="J12" s="307" t="s">
        <v>55</v>
      </c>
      <c r="K12" s="306">
        <v>650</v>
      </c>
      <c r="L12" s="305">
        <f>資產配置1a[[#This Row],[金額]]/$C$4</f>
        <v>0.38690476190476192</v>
      </c>
      <c r="M12" s="311">
        <v>0.04</v>
      </c>
    </row>
    <row r="13" spans="2:13" x14ac:dyDescent="0.3">
      <c r="B13" s="308" t="s">
        <v>224</v>
      </c>
      <c r="C13" s="309">
        <v>200</v>
      </c>
      <c r="D13" s="310">
        <f>資產配置1b[[#This Row],[金額]]/$C$4</f>
        <v>0.11904761904761904</v>
      </c>
      <c r="E13" s="312">
        <v>-0.04</v>
      </c>
      <c r="H13" s="30"/>
      <c r="I13" s="30"/>
      <c r="J13" s="308" t="s">
        <v>224</v>
      </c>
      <c r="K13" s="309">
        <v>200</v>
      </c>
      <c r="L13" s="310">
        <f>資產配置1a[[#This Row],[金額]]/$C$4</f>
        <v>0.11904761904761904</v>
      </c>
      <c r="M13" s="312">
        <v>-0.04</v>
      </c>
    </row>
    <row r="14" spans="2:13" x14ac:dyDescent="0.3">
      <c r="H14" s="30"/>
      <c r="I14" s="30"/>
    </row>
    <row r="15" spans="2:13" x14ac:dyDescent="0.3">
      <c r="H15" s="30"/>
      <c r="I15" s="30"/>
    </row>
    <row r="16" spans="2:13" s="313" customFormat="1" x14ac:dyDescent="0.3">
      <c r="H16" s="30"/>
      <c r="I16" s="30"/>
    </row>
    <row r="17" spans="8:9" x14ac:dyDescent="0.3">
      <c r="H17" s="30"/>
      <c r="I17" s="30"/>
    </row>
    <row r="18" spans="8:9" x14ac:dyDescent="0.3">
      <c r="H18" s="30"/>
      <c r="I18" s="30"/>
    </row>
    <row r="19" spans="8:9" s="332" customFormat="1" x14ac:dyDescent="0.3">
      <c r="H19" s="333"/>
      <c r="I19" s="333"/>
    </row>
    <row r="20" spans="8:9" x14ac:dyDescent="0.3">
      <c r="H20" s="30"/>
      <c r="I20" s="30"/>
    </row>
    <row r="21" spans="8:9" x14ac:dyDescent="0.3">
      <c r="H21" s="30"/>
      <c r="I21" s="30"/>
    </row>
    <row r="22" spans="8:9" x14ac:dyDescent="0.3">
      <c r="H22" s="30"/>
      <c r="I22" s="30"/>
    </row>
    <row r="23" spans="8:9" x14ac:dyDescent="0.3">
      <c r="H23" s="30"/>
      <c r="I23" s="30"/>
    </row>
    <row r="24" spans="8:9" x14ac:dyDescent="0.3">
      <c r="H24" s="30"/>
      <c r="I24" s="30"/>
    </row>
    <row r="25" spans="8:9" x14ac:dyDescent="0.3">
      <c r="H25" s="30"/>
      <c r="I25" s="30"/>
    </row>
    <row r="26" spans="8:9" x14ac:dyDescent="0.3">
      <c r="H26" s="30"/>
      <c r="I26" s="30"/>
    </row>
    <row r="27" spans="8:9" x14ac:dyDescent="0.3">
      <c r="H27" s="30"/>
      <c r="I27" s="30"/>
    </row>
    <row r="28" spans="8:9" x14ac:dyDescent="0.3">
      <c r="H28" s="30"/>
      <c r="I28" s="30"/>
    </row>
    <row r="29" spans="8:9" x14ac:dyDescent="0.3">
      <c r="H29" s="30"/>
      <c r="I29" s="30"/>
    </row>
    <row r="30" spans="8:9" x14ac:dyDescent="0.3">
      <c r="H30" s="30"/>
      <c r="I30" s="30"/>
    </row>
    <row r="31" spans="8:9" x14ac:dyDescent="0.3">
      <c r="H31" s="30"/>
      <c r="I31" s="30"/>
    </row>
    <row r="32" spans="8:9" x14ac:dyDescent="0.3">
      <c r="H32" s="30"/>
      <c r="I32" s="30"/>
    </row>
    <row r="33" spans="1:16" x14ac:dyDescent="0.3">
      <c r="H33" s="30"/>
      <c r="I33" s="30"/>
    </row>
    <row r="34" spans="1:16" x14ac:dyDescent="0.3">
      <c r="H34" s="30"/>
      <c r="I34" s="30"/>
    </row>
    <row r="35" spans="1:16" x14ac:dyDescent="0.3">
      <c r="A35" s="30"/>
      <c r="B35" s="536" t="s">
        <v>324</v>
      </c>
      <c r="C35" s="537"/>
      <c r="D35" s="537"/>
      <c r="E35" s="537"/>
      <c r="F35" s="537"/>
      <c r="G35" s="537"/>
      <c r="H35" s="538"/>
      <c r="I35" s="30"/>
      <c r="J35" s="536" t="s">
        <v>324</v>
      </c>
      <c r="K35" s="537"/>
      <c r="L35" s="537"/>
      <c r="M35" s="537"/>
      <c r="N35" s="537"/>
      <c r="O35" s="537"/>
      <c r="P35" s="538"/>
    </row>
    <row r="36" spans="1:16" x14ac:dyDescent="0.3">
      <c r="A36" s="30"/>
      <c r="B36" s="539"/>
      <c r="C36" s="30"/>
      <c r="D36" s="30"/>
      <c r="E36" s="30"/>
      <c r="F36" s="30"/>
      <c r="G36" s="30"/>
      <c r="H36" s="540"/>
      <c r="I36" s="30"/>
      <c r="J36" s="539"/>
      <c r="K36" s="30"/>
      <c r="L36" s="30"/>
      <c r="M36" s="30"/>
      <c r="N36" s="30"/>
      <c r="O36" s="30"/>
      <c r="P36" s="540"/>
    </row>
    <row r="37" spans="1:16" x14ac:dyDescent="0.3">
      <c r="A37" s="30"/>
      <c r="B37" s="539"/>
      <c r="C37" s="30"/>
      <c r="D37" s="30"/>
      <c r="E37" s="30"/>
      <c r="F37" s="30"/>
      <c r="G37" s="30"/>
      <c r="H37" s="540"/>
      <c r="I37" s="30"/>
      <c r="J37" s="539"/>
      <c r="K37" s="30"/>
      <c r="L37" s="30"/>
      <c r="M37" s="30"/>
      <c r="N37" s="30"/>
      <c r="O37" s="30"/>
      <c r="P37" s="540"/>
    </row>
    <row r="38" spans="1:16" x14ac:dyDescent="0.3">
      <c r="A38" s="30"/>
      <c r="B38" s="539"/>
      <c r="C38" s="30"/>
      <c r="D38" s="30"/>
      <c r="E38" s="30"/>
      <c r="F38" s="30"/>
      <c r="G38" s="30"/>
      <c r="H38" s="540"/>
      <c r="I38" s="30"/>
      <c r="J38" s="539"/>
      <c r="K38" s="30"/>
      <c r="L38" s="30"/>
      <c r="M38" s="30"/>
      <c r="N38" s="30"/>
      <c r="O38" s="30"/>
      <c r="P38" s="540"/>
    </row>
    <row r="39" spans="1:16" x14ac:dyDescent="0.3">
      <c r="A39" s="30"/>
      <c r="B39" s="539"/>
      <c r="C39" s="30"/>
      <c r="D39" s="30"/>
      <c r="E39" s="30"/>
      <c r="F39" s="30"/>
      <c r="G39" s="30"/>
      <c r="H39" s="540"/>
      <c r="I39" s="30"/>
      <c r="J39" s="539"/>
      <c r="K39" s="30"/>
      <c r="L39" s="30"/>
      <c r="M39" s="30"/>
      <c r="N39" s="30"/>
      <c r="O39" s="30"/>
      <c r="P39" s="540"/>
    </row>
    <row r="40" spans="1:16" x14ac:dyDescent="0.3">
      <c r="A40" s="30"/>
      <c r="B40" s="539"/>
      <c r="C40" s="30"/>
      <c r="D40" s="30"/>
      <c r="E40" s="30"/>
      <c r="F40" s="30"/>
      <c r="G40" s="30"/>
      <c r="H40" s="540"/>
      <c r="I40" s="30"/>
      <c r="J40" s="539"/>
      <c r="K40" s="30"/>
      <c r="L40" s="30"/>
      <c r="M40" s="30"/>
      <c r="N40" s="30"/>
      <c r="O40" s="30"/>
      <c r="P40" s="540"/>
    </row>
    <row r="41" spans="1:16" x14ac:dyDescent="0.3">
      <c r="A41" s="30"/>
      <c r="B41" s="539"/>
      <c r="C41" s="30"/>
      <c r="D41" s="30"/>
      <c r="E41" s="30"/>
      <c r="F41" s="30"/>
      <c r="G41" s="30"/>
      <c r="H41" s="540"/>
      <c r="I41" s="30"/>
      <c r="J41" s="539"/>
      <c r="K41" s="30"/>
      <c r="L41" s="30"/>
      <c r="M41" s="30"/>
      <c r="N41" s="30"/>
      <c r="O41" s="30"/>
      <c r="P41" s="540"/>
    </row>
    <row r="42" spans="1:16" x14ac:dyDescent="0.3">
      <c r="A42" s="30"/>
      <c r="B42" s="539"/>
      <c r="C42" s="30"/>
      <c r="D42" s="30"/>
      <c r="E42" s="30"/>
      <c r="F42" s="30"/>
      <c r="G42" s="30"/>
      <c r="H42" s="540"/>
      <c r="I42" s="30"/>
      <c r="J42" s="539"/>
      <c r="K42" s="30"/>
      <c r="L42" s="30"/>
      <c r="M42" s="30"/>
      <c r="N42" s="30"/>
      <c r="O42" s="30"/>
      <c r="P42" s="540"/>
    </row>
    <row r="43" spans="1:16" x14ac:dyDescent="0.3">
      <c r="A43" s="30"/>
      <c r="B43" s="539"/>
      <c r="C43" s="30"/>
      <c r="D43" s="30"/>
      <c r="E43" s="30"/>
      <c r="F43" s="30"/>
      <c r="G43" s="30"/>
      <c r="H43" s="540"/>
      <c r="I43" s="30"/>
      <c r="J43" s="539"/>
      <c r="K43" s="30"/>
      <c r="L43" s="30"/>
      <c r="M43" s="30"/>
      <c r="N43" s="30"/>
      <c r="O43" s="30"/>
      <c r="P43" s="540"/>
    </row>
    <row r="44" spans="1:16" x14ac:dyDescent="0.3">
      <c r="A44" s="30"/>
      <c r="B44" s="541"/>
      <c r="C44" s="542"/>
      <c r="D44" s="542"/>
      <c r="E44" s="542"/>
      <c r="F44" s="542"/>
      <c r="G44" s="542"/>
      <c r="H44" s="543"/>
      <c r="I44" s="30"/>
      <c r="J44" s="541"/>
      <c r="K44" s="542"/>
      <c r="L44" s="542"/>
      <c r="M44" s="542"/>
      <c r="N44" s="542"/>
      <c r="O44" s="542"/>
      <c r="P44" s="543"/>
    </row>
    <row r="45" spans="1:16" x14ac:dyDescent="0.3">
      <c r="H45" s="30"/>
      <c r="I45" s="30"/>
    </row>
    <row r="46" spans="1:16" s="313" customFormat="1" ht="18" x14ac:dyDescent="0.3">
      <c r="B46" s="472" t="s">
        <v>300</v>
      </c>
      <c r="H46" s="30"/>
      <c r="I46" s="30"/>
      <c r="J46" s="534" t="s">
        <v>301</v>
      </c>
    </row>
    <row r="47" spans="1:16" s="313" customFormat="1" x14ac:dyDescent="0.3">
      <c r="C47" s="530" t="s">
        <v>223</v>
      </c>
      <c r="D47" s="530" t="s">
        <v>56</v>
      </c>
      <c r="E47" s="530" t="s">
        <v>357</v>
      </c>
      <c r="H47" s="30"/>
      <c r="I47" s="30"/>
      <c r="K47" s="530" t="s">
        <v>223</v>
      </c>
      <c r="L47" s="530" t="s">
        <v>56</v>
      </c>
      <c r="M47" s="530" t="s">
        <v>357</v>
      </c>
    </row>
    <row r="48" spans="1:16" s="313" customFormat="1" ht="18.600000000000001" x14ac:dyDescent="0.3">
      <c r="C48" s="531">
        <f>SUM(資產配置2b[金額])</f>
        <v>1680</v>
      </c>
      <c r="D48" s="532">
        <f>SUM(資產配置2b[百分比])</f>
        <v>1</v>
      </c>
      <c r="E48" s="533">
        <f>SUMPRODUCT(資產配置2b[百分比],資產配置2b[報酬率])</f>
        <v>3.6904761904761905E-2</v>
      </c>
      <c r="H48" s="30"/>
      <c r="I48" s="30"/>
      <c r="K48" s="531">
        <f>SUM(資產配置2a[金額])</f>
        <v>1680</v>
      </c>
      <c r="L48" s="532">
        <f>SUM(資產配置2a[百分比])</f>
        <v>1</v>
      </c>
      <c r="M48" s="533">
        <f>SUMPRODUCT(資產配置2a[百分比],資產配置2a[報酬率])</f>
        <v>3.6904761904761905E-2</v>
      </c>
    </row>
    <row r="49" spans="2:13" s="30" customFormat="1" ht="25.2" customHeight="1" x14ac:dyDescent="0.3">
      <c r="B49" s="30" t="s">
        <v>111</v>
      </c>
      <c r="J49" s="40" t="s">
        <v>111</v>
      </c>
      <c r="K49" s="40"/>
      <c r="L49" s="40"/>
      <c r="M49" s="40"/>
    </row>
    <row r="50" spans="2:13" s="313" customFormat="1" ht="19.95" customHeight="1" x14ac:dyDescent="0.3">
      <c r="B50" s="527" t="s">
        <v>49</v>
      </c>
      <c r="C50" s="528" t="s">
        <v>38</v>
      </c>
      <c r="D50" s="528" t="s">
        <v>56</v>
      </c>
      <c r="E50" s="529" t="s">
        <v>136</v>
      </c>
      <c r="H50" s="30"/>
      <c r="I50" s="30"/>
      <c r="J50" s="547" t="s">
        <v>49</v>
      </c>
      <c r="K50" s="548" t="s">
        <v>38</v>
      </c>
      <c r="L50" s="548" t="s">
        <v>56</v>
      </c>
      <c r="M50" s="548" t="s">
        <v>136</v>
      </c>
    </row>
    <row r="51" spans="2:13" s="313" customFormat="1" ht="19.95" customHeight="1" x14ac:dyDescent="0.3">
      <c r="B51" s="307" t="s">
        <v>50</v>
      </c>
      <c r="C51" s="306">
        <v>70</v>
      </c>
      <c r="D51" s="305">
        <f>資產配置2b[[#This Row],[金額]]/$C$4</f>
        <v>4.1666666666666664E-2</v>
      </c>
      <c r="E51" s="311">
        <v>0.2</v>
      </c>
      <c r="H51" s="30"/>
      <c r="I51" s="30"/>
      <c r="J51" s="545" t="s">
        <v>50</v>
      </c>
      <c r="K51" s="306">
        <v>70</v>
      </c>
      <c r="L51" s="305">
        <f>資產配置2a[[#This Row],[金額]]/$C$4</f>
        <v>4.1666666666666664E-2</v>
      </c>
      <c r="M51" s="546">
        <v>0.2</v>
      </c>
    </row>
    <row r="52" spans="2:13" s="313" customFormat="1" ht="19.95" customHeight="1" x14ac:dyDescent="0.3">
      <c r="B52" s="307" t="s">
        <v>51</v>
      </c>
      <c r="C52" s="306">
        <v>90</v>
      </c>
      <c r="D52" s="305">
        <f>資產配置2b[[#This Row],[金額]]/$C$4</f>
        <v>5.3571428571428568E-2</v>
      </c>
      <c r="E52" s="311">
        <v>-3.5000000000000003E-2</v>
      </c>
      <c r="H52" s="30"/>
      <c r="I52" s="30"/>
      <c r="J52" s="545" t="s">
        <v>51</v>
      </c>
      <c r="K52" s="306">
        <v>90</v>
      </c>
      <c r="L52" s="305">
        <f>資產配置2a[[#This Row],[金額]]/$C$4</f>
        <v>5.3571428571428568E-2</v>
      </c>
      <c r="M52" s="546">
        <v>-3.5000000000000003E-2</v>
      </c>
    </row>
    <row r="53" spans="2:13" s="313" customFormat="1" ht="19.95" customHeight="1" x14ac:dyDescent="0.3">
      <c r="B53" s="307" t="s">
        <v>52</v>
      </c>
      <c r="C53" s="306">
        <v>120</v>
      </c>
      <c r="D53" s="305">
        <f>資產配置2b[[#This Row],[金額]]/$C$4</f>
        <v>7.1428571428571425E-2</v>
      </c>
      <c r="E53" s="311">
        <v>0.12</v>
      </c>
      <c r="H53" s="30"/>
      <c r="I53" s="30"/>
      <c r="J53" s="545" t="s">
        <v>52</v>
      </c>
      <c r="K53" s="306">
        <v>120</v>
      </c>
      <c r="L53" s="305">
        <f>資產配置2a[[#This Row],[金額]]/$C$4</f>
        <v>7.1428571428571425E-2</v>
      </c>
      <c r="M53" s="546">
        <v>0.12</v>
      </c>
    </row>
    <row r="54" spans="2:13" s="313" customFormat="1" ht="19.95" customHeight="1" x14ac:dyDescent="0.3">
      <c r="B54" s="307" t="s">
        <v>53</v>
      </c>
      <c r="C54" s="306">
        <v>250</v>
      </c>
      <c r="D54" s="305">
        <f>資產配置2b[[#This Row],[金額]]/$C$4</f>
        <v>0.14880952380952381</v>
      </c>
      <c r="E54" s="311">
        <v>1.4999999999999999E-2</v>
      </c>
      <c r="H54" s="30"/>
      <c r="I54" s="30"/>
      <c r="J54" s="545" t="s">
        <v>53</v>
      </c>
      <c r="K54" s="306">
        <v>250</v>
      </c>
      <c r="L54" s="305">
        <f>資產配置2a[[#This Row],[金額]]/$C$4</f>
        <v>0.14880952380952381</v>
      </c>
      <c r="M54" s="546">
        <v>1.4999999999999999E-2</v>
      </c>
    </row>
    <row r="55" spans="2:13" s="313" customFormat="1" ht="19.95" customHeight="1" x14ac:dyDescent="0.3">
      <c r="B55" s="307" t="s">
        <v>54</v>
      </c>
      <c r="C55" s="306">
        <v>300</v>
      </c>
      <c r="D55" s="305">
        <f>資產配置2b[[#This Row],[金額]]/$C$4</f>
        <v>0.17857142857142858</v>
      </c>
      <c r="E55" s="311">
        <v>0.05</v>
      </c>
      <c r="H55" s="30"/>
      <c r="I55" s="30"/>
      <c r="J55" s="545" t="s">
        <v>54</v>
      </c>
      <c r="K55" s="306">
        <v>300</v>
      </c>
      <c r="L55" s="305">
        <f>資產配置2a[[#This Row],[金額]]/$C$4</f>
        <v>0.17857142857142858</v>
      </c>
      <c r="M55" s="546">
        <v>0.05</v>
      </c>
    </row>
    <row r="56" spans="2:13" s="313" customFormat="1" ht="19.95" customHeight="1" x14ac:dyDescent="0.3">
      <c r="B56" s="307" t="s">
        <v>55</v>
      </c>
      <c r="C56" s="306">
        <v>650</v>
      </c>
      <c r="D56" s="305">
        <f>資產配置2b[[#This Row],[金額]]/$C$4</f>
        <v>0.38690476190476192</v>
      </c>
      <c r="E56" s="311">
        <v>0.04</v>
      </c>
      <c r="H56" s="30"/>
      <c r="I56" s="30"/>
      <c r="J56" s="545" t="s">
        <v>55</v>
      </c>
      <c r="K56" s="306">
        <v>650</v>
      </c>
      <c r="L56" s="305">
        <f>資產配置2a[[#This Row],[金額]]/$C$4</f>
        <v>0.38690476190476192</v>
      </c>
      <c r="M56" s="546">
        <v>0.04</v>
      </c>
    </row>
    <row r="57" spans="2:13" s="313" customFormat="1" x14ac:dyDescent="0.3">
      <c r="B57" s="308" t="s">
        <v>224</v>
      </c>
      <c r="C57" s="309">
        <v>200</v>
      </c>
      <c r="D57" s="310">
        <f>資產配置2b[[#This Row],[金額]]/$C$4</f>
        <v>0.11904761904761904</v>
      </c>
      <c r="E57" s="312">
        <v>-0.04</v>
      </c>
      <c r="H57" s="30"/>
      <c r="I57" s="30"/>
      <c r="J57" s="545" t="s">
        <v>224</v>
      </c>
      <c r="K57" s="306">
        <v>200</v>
      </c>
      <c r="L57" s="305">
        <f>資產配置2a[[#This Row],[金額]]/$C$4</f>
        <v>0.11904761904761904</v>
      </c>
      <c r="M57" s="546">
        <v>-0.04</v>
      </c>
    </row>
    <row r="58" spans="2:13" x14ac:dyDescent="0.3">
      <c r="H58" s="30"/>
      <c r="I58" s="30"/>
      <c r="J58" s="41"/>
      <c r="K58" s="41"/>
      <c r="L58" s="41"/>
      <c r="M58" s="41"/>
    </row>
    <row r="59" spans="2:13" x14ac:dyDescent="0.3">
      <c r="H59" s="30"/>
      <c r="I59" s="30"/>
      <c r="J59" s="30"/>
      <c r="K59" s="30"/>
      <c r="L59" s="30"/>
      <c r="M59" s="30"/>
    </row>
    <row r="60" spans="2:13" x14ac:dyDescent="0.3">
      <c r="H60" s="30"/>
      <c r="I60" s="30"/>
    </row>
    <row r="61" spans="2:13" x14ac:dyDescent="0.3">
      <c r="H61" s="30"/>
      <c r="I61" s="30"/>
    </row>
    <row r="62" spans="2:13" x14ac:dyDescent="0.3">
      <c r="H62" s="30"/>
      <c r="I62" s="30"/>
    </row>
    <row r="63" spans="2:13" s="535" customFormat="1" x14ac:dyDescent="0.3">
      <c r="H63" s="544"/>
      <c r="I63" s="544"/>
    </row>
    <row r="64" spans="2:13" x14ac:dyDescent="0.3">
      <c r="H64" s="30"/>
      <c r="I64" s="30"/>
    </row>
    <row r="65" spans="2:16" x14ac:dyDescent="0.3">
      <c r="H65" s="30"/>
      <c r="I65" s="30"/>
    </row>
    <row r="66" spans="2:16" x14ac:dyDescent="0.3">
      <c r="H66" s="30"/>
      <c r="I66" s="30"/>
    </row>
    <row r="67" spans="2:16" x14ac:dyDescent="0.3">
      <c r="H67" s="30"/>
      <c r="I67" s="30"/>
    </row>
    <row r="68" spans="2:16" x14ac:dyDescent="0.3">
      <c r="H68" s="30"/>
      <c r="I68" s="30"/>
    </row>
    <row r="69" spans="2:16" x14ac:dyDescent="0.3">
      <c r="H69" s="30"/>
      <c r="I69" s="30"/>
    </row>
    <row r="70" spans="2:16" x14ac:dyDescent="0.3">
      <c r="H70" s="30"/>
      <c r="I70" s="30"/>
    </row>
    <row r="71" spans="2:16" x14ac:dyDescent="0.3">
      <c r="H71" s="30"/>
      <c r="I71" s="30"/>
    </row>
    <row r="72" spans="2:16" x14ac:dyDescent="0.3">
      <c r="H72" s="30"/>
      <c r="I72" s="30"/>
    </row>
    <row r="73" spans="2:16" x14ac:dyDescent="0.3">
      <c r="H73" s="30"/>
      <c r="I73" s="30"/>
    </row>
    <row r="74" spans="2:16" x14ac:dyDescent="0.3">
      <c r="H74" s="30"/>
      <c r="I74" s="30"/>
    </row>
    <row r="75" spans="2:16" x14ac:dyDescent="0.3">
      <c r="H75" s="30"/>
      <c r="I75" s="30"/>
    </row>
    <row r="76" spans="2:16" x14ac:dyDescent="0.3">
      <c r="H76" s="30"/>
      <c r="I76" s="30"/>
    </row>
    <row r="77" spans="2:16" x14ac:dyDescent="0.3">
      <c r="H77" s="30"/>
      <c r="I77" s="30"/>
    </row>
    <row r="78" spans="2:16" x14ac:dyDescent="0.3">
      <c r="H78" s="30"/>
      <c r="I78" s="30"/>
    </row>
    <row r="79" spans="2:16" x14ac:dyDescent="0.3">
      <c r="B79" s="536" t="s">
        <v>324</v>
      </c>
      <c r="C79" s="537"/>
      <c r="D79" s="537"/>
      <c r="E79" s="537"/>
      <c r="F79" s="537"/>
      <c r="G79" s="537"/>
      <c r="H79" s="538"/>
      <c r="I79" s="30"/>
      <c r="J79" s="536" t="s">
        <v>324</v>
      </c>
      <c r="K79" s="537"/>
      <c r="L79" s="537"/>
      <c r="M79" s="537"/>
      <c r="N79" s="537"/>
      <c r="O79" s="537"/>
      <c r="P79" s="538"/>
    </row>
    <row r="80" spans="2:16" x14ac:dyDescent="0.3">
      <c r="B80" s="539"/>
      <c r="C80" s="30"/>
      <c r="D80" s="30"/>
      <c r="E80" s="30"/>
      <c r="F80" s="30"/>
      <c r="G80" s="30"/>
      <c r="H80" s="540"/>
      <c r="I80" s="30"/>
      <c r="J80" s="539"/>
      <c r="K80" s="30"/>
      <c r="L80" s="30"/>
      <c r="M80" s="30"/>
      <c r="N80" s="30"/>
      <c r="O80" s="30"/>
      <c r="P80" s="540"/>
    </row>
    <row r="81" spans="2:16" x14ac:dyDescent="0.3">
      <c r="B81" s="539"/>
      <c r="C81" s="30"/>
      <c r="D81" s="30"/>
      <c r="E81" s="30"/>
      <c r="F81" s="30"/>
      <c r="G81" s="30"/>
      <c r="H81" s="540"/>
      <c r="I81" s="30"/>
      <c r="J81" s="539"/>
      <c r="K81" s="30"/>
      <c r="L81" s="30"/>
      <c r="M81" s="30"/>
      <c r="N81" s="30"/>
      <c r="O81" s="30"/>
      <c r="P81" s="540"/>
    </row>
    <row r="82" spans="2:16" x14ac:dyDescent="0.3">
      <c r="B82" s="539"/>
      <c r="C82" s="30"/>
      <c r="D82" s="30"/>
      <c r="E82" s="30"/>
      <c r="F82" s="30"/>
      <c r="G82" s="30"/>
      <c r="H82" s="540"/>
      <c r="I82" s="30"/>
      <c r="J82" s="539"/>
      <c r="K82" s="30"/>
      <c r="L82" s="30"/>
      <c r="M82" s="30"/>
      <c r="N82" s="30"/>
      <c r="O82" s="30"/>
      <c r="P82" s="540"/>
    </row>
    <row r="83" spans="2:16" x14ac:dyDescent="0.3">
      <c r="B83" s="539"/>
      <c r="C83" s="30"/>
      <c r="D83" s="30"/>
      <c r="E83" s="30"/>
      <c r="F83" s="30"/>
      <c r="G83" s="30"/>
      <c r="H83" s="540"/>
      <c r="I83" s="30"/>
      <c r="J83" s="539"/>
      <c r="K83" s="30"/>
      <c r="L83" s="30"/>
      <c r="M83" s="30"/>
      <c r="N83" s="30"/>
      <c r="O83" s="30"/>
      <c r="P83" s="540"/>
    </row>
    <row r="84" spans="2:16" x14ac:dyDescent="0.3">
      <c r="B84" s="539"/>
      <c r="C84" s="30"/>
      <c r="D84" s="30"/>
      <c r="E84" s="30"/>
      <c r="F84" s="30"/>
      <c r="G84" s="30"/>
      <c r="H84" s="540"/>
      <c r="I84" s="30"/>
      <c r="J84" s="539"/>
      <c r="K84" s="30"/>
      <c r="L84" s="30"/>
      <c r="M84" s="30"/>
      <c r="N84" s="30"/>
      <c r="O84" s="30"/>
      <c r="P84" s="540"/>
    </row>
    <row r="85" spans="2:16" x14ac:dyDescent="0.3">
      <c r="B85" s="539"/>
      <c r="C85" s="30"/>
      <c r="D85" s="30"/>
      <c r="E85" s="30"/>
      <c r="F85" s="30"/>
      <c r="G85" s="30"/>
      <c r="H85" s="540"/>
      <c r="I85" s="30"/>
      <c r="J85" s="539"/>
      <c r="K85" s="30"/>
      <c r="L85" s="30"/>
      <c r="M85" s="30"/>
      <c r="N85" s="30"/>
      <c r="O85" s="30"/>
      <c r="P85" s="540"/>
    </row>
    <row r="86" spans="2:16" x14ac:dyDescent="0.3">
      <c r="B86" s="539"/>
      <c r="C86" s="30"/>
      <c r="D86" s="30"/>
      <c r="E86" s="30"/>
      <c r="F86" s="30"/>
      <c r="G86" s="30"/>
      <c r="H86" s="540"/>
      <c r="I86" s="30"/>
      <c r="J86" s="539"/>
      <c r="K86" s="30"/>
      <c r="L86" s="30"/>
      <c r="M86" s="30"/>
      <c r="N86" s="30"/>
      <c r="O86" s="30"/>
      <c r="P86" s="540"/>
    </row>
    <row r="87" spans="2:16" x14ac:dyDescent="0.3">
      <c r="B87" s="539"/>
      <c r="C87" s="30"/>
      <c r="D87" s="30"/>
      <c r="E87" s="30"/>
      <c r="F87" s="30"/>
      <c r="G87" s="30"/>
      <c r="H87" s="540"/>
      <c r="I87" s="30"/>
      <c r="J87" s="539"/>
      <c r="K87" s="30"/>
      <c r="L87" s="30"/>
      <c r="M87" s="30"/>
      <c r="N87" s="30"/>
      <c r="O87" s="30"/>
      <c r="P87" s="540"/>
    </row>
    <row r="88" spans="2:16" x14ac:dyDescent="0.3">
      <c r="B88" s="541"/>
      <c r="C88" s="542"/>
      <c r="D88" s="542"/>
      <c r="E88" s="542"/>
      <c r="F88" s="542"/>
      <c r="G88" s="542"/>
      <c r="H88" s="543"/>
      <c r="I88" s="30"/>
      <c r="J88" s="541"/>
      <c r="K88" s="542"/>
      <c r="L88" s="542"/>
      <c r="M88" s="542"/>
      <c r="N88" s="542"/>
      <c r="O88" s="542"/>
      <c r="P88" s="543"/>
    </row>
    <row r="89" spans="2:16" x14ac:dyDescent="0.3">
      <c r="H89" s="30"/>
      <c r="I89" s="30"/>
    </row>
    <row r="90" spans="2:16" x14ac:dyDescent="0.3">
      <c r="H90" s="30"/>
      <c r="I90" s="30"/>
    </row>
    <row r="91" spans="2:16" s="313" customFormat="1" ht="18" x14ac:dyDescent="0.3">
      <c r="B91" s="472" t="s">
        <v>300</v>
      </c>
      <c r="H91" s="30"/>
      <c r="I91" s="30"/>
      <c r="J91" s="534" t="s">
        <v>301</v>
      </c>
    </row>
    <row r="92" spans="2:16" s="313" customFormat="1" x14ac:dyDescent="0.3">
      <c r="C92" s="530" t="s">
        <v>223</v>
      </c>
      <c r="D92" s="530" t="s">
        <v>56</v>
      </c>
      <c r="E92" s="530" t="s">
        <v>357</v>
      </c>
      <c r="H92" s="30"/>
      <c r="I92" s="30"/>
      <c r="K92" s="530" t="s">
        <v>223</v>
      </c>
      <c r="L92" s="530" t="s">
        <v>56</v>
      </c>
      <c r="M92" s="530" t="s">
        <v>357</v>
      </c>
    </row>
    <row r="93" spans="2:16" s="313" customFormat="1" ht="18.600000000000001" x14ac:dyDescent="0.3">
      <c r="C93" s="531">
        <f>SUM(資產配置3b[金額])</f>
        <v>1680</v>
      </c>
      <c r="D93" s="532">
        <f>SUM(資產配置3b[百分比])</f>
        <v>1</v>
      </c>
      <c r="E93" s="533">
        <f>SUMPRODUCT(資產配置3b[百分比],資產配置3b[報酬率])</f>
        <v>3.6904761904761905E-2</v>
      </c>
      <c r="H93" s="30"/>
      <c r="I93" s="30"/>
      <c r="K93" s="531">
        <f>SUM(資產配置3a[金額])</f>
        <v>1680</v>
      </c>
      <c r="L93" s="532">
        <f>SUM(資產配置3a[百分比])</f>
        <v>1</v>
      </c>
      <c r="M93" s="533">
        <f>SUMPRODUCT(資產配置3a[百分比],資產配置3a[報酬率])</f>
        <v>3.6904761904761905E-2</v>
      </c>
    </row>
    <row r="94" spans="2:16" s="30" customFormat="1" ht="25.2" customHeight="1" x14ac:dyDescent="0.3">
      <c r="B94" s="30" t="s">
        <v>4</v>
      </c>
      <c r="J94" s="30" t="s">
        <v>4</v>
      </c>
    </row>
    <row r="95" spans="2:16" s="313" customFormat="1" ht="19.95" customHeight="1" x14ac:dyDescent="0.3">
      <c r="B95" s="527" t="s">
        <v>49</v>
      </c>
      <c r="C95" s="528" t="s">
        <v>38</v>
      </c>
      <c r="D95" s="528" t="s">
        <v>56</v>
      </c>
      <c r="E95" s="529" t="s">
        <v>136</v>
      </c>
      <c r="H95" s="30"/>
      <c r="I95" s="30"/>
      <c r="J95" s="527" t="s">
        <v>49</v>
      </c>
      <c r="K95" s="528" t="s">
        <v>38</v>
      </c>
      <c r="L95" s="528" t="s">
        <v>56</v>
      </c>
      <c r="M95" s="529" t="s">
        <v>136</v>
      </c>
    </row>
    <row r="96" spans="2:16" s="313" customFormat="1" ht="19.95" customHeight="1" x14ac:dyDescent="0.3">
      <c r="B96" s="307" t="s">
        <v>50</v>
      </c>
      <c r="C96" s="306">
        <v>70</v>
      </c>
      <c r="D96" s="305">
        <f>資產配置3b[[#This Row],[金額]]/$C$4</f>
        <v>4.1666666666666664E-2</v>
      </c>
      <c r="E96" s="311">
        <v>0.2</v>
      </c>
      <c r="H96" s="30"/>
      <c r="I96" s="30"/>
      <c r="J96" s="307" t="s">
        <v>50</v>
      </c>
      <c r="K96" s="306">
        <v>70</v>
      </c>
      <c r="L96" s="305">
        <f>資產配置3a[[#This Row],[金額]]/$C$4</f>
        <v>4.1666666666666664E-2</v>
      </c>
      <c r="M96" s="311">
        <v>0.2</v>
      </c>
    </row>
    <row r="97" spans="2:13" s="313" customFormat="1" ht="19.95" customHeight="1" x14ac:dyDescent="0.3">
      <c r="B97" s="307" t="s">
        <v>51</v>
      </c>
      <c r="C97" s="306">
        <v>90</v>
      </c>
      <c r="D97" s="305">
        <f>資產配置3b[[#This Row],[金額]]/$C$4</f>
        <v>5.3571428571428568E-2</v>
      </c>
      <c r="E97" s="311">
        <v>-3.5000000000000003E-2</v>
      </c>
      <c r="H97" s="30"/>
      <c r="I97" s="30"/>
      <c r="J97" s="307" t="s">
        <v>51</v>
      </c>
      <c r="K97" s="306">
        <v>90</v>
      </c>
      <c r="L97" s="305">
        <f>資產配置3a[[#This Row],[金額]]/$C$4</f>
        <v>5.3571428571428568E-2</v>
      </c>
      <c r="M97" s="311">
        <v>-3.5000000000000003E-2</v>
      </c>
    </row>
    <row r="98" spans="2:13" s="313" customFormat="1" ht="19.95" customHeight="1" x14ac:dyDescent="0.3">
      <c r="B98" s="307" t="s">
        <v>52</v>
      </c>
      <c r="C98" s="306">
        <v>120</v>
      </c>
      <c r="D98" s="305">
        <f>資產配置3b[[#This Row],[金額]]/$C$4</f>
        <v>7.1428571428571425E-2</v>
      </c>
      <c r="E98" s="311">
        <v>0.12</v>
      </c>
      <c r="H98" s="30"/>
      <c r="I98" s="30"/>
      <c r="J98" s="307" t="s">
        <v>52</v>
      </c>
      <c r="K98" s="306">
        <v>120</v>
      </c>
      <c r="L98" s="305">
        <f>資產配置3a[[#This Row],[金額]]/$C$4</f>
        <v>7.1428571428571425E-2</v>
      </c>
      <c r="M98" s="311">
        <v>0.12</v>
      </c>
    </row>
    <row r="99" spans="2:13" s="313" customFormat="1" ht="19.95" customHeight="1" x14ac:dyDescent="0.3">
      <c r="B99" s="307" t="s">
        <v>53</v>
      </c>
      <c r="C99" s="306">
        <v>250</v>
      </c>
      <c r="D99" s="305">
        <f>資產配置3b[[#This Row],[金額]]/$C$4</f>
        <v>0.14880952380952381</v>
      </c>
      <c r="E99" s="311">
        <v>1.4999999999999999E-2</v>
      </c>
      <c r="H99" s="30"/>
      <c r="I99" s="30"/>
      <c r="J99" s="307" t="s">
        <v>53</v>
      </c>
      <c r="K99" s="306">
        <v>250</v>
      </c>
      <c r="L99" s="305">
        <f>資產配置3a[[#This Row],[金額]]/$C$4</f>
        <v>0.14880952380952381</v>
      </c>
      <c r="M99" s="311">
        <v>1.4999999999999999E-2</v>
      </c>
    </row>
    <row r="100" spans="2:13" s="313" customFormat="1" ht="19.95" customHeight="1" x14ac:dyDescent="0.3">
      <c r="B100" s="307" t="s">
        <v>54</v>
      </c>
      <c r="C100" s="306">
        <v>300</v>
      </c>
      <c r="D100" s="305">
        <f>資產配置3b[[#This Row],[金額]]/$C$4</f>
        <v>0.17857142857142858</v>
      </c>
      <c r="E100" s="311">
        <v>0.05</v>
      </c>
      <c r="H100" s="30"/>
      <c r="I100" s="30"/>
      <c r="J100" s="307" t="s">
        <v>54</v>
      </c>
      <c r="K100" s="306">
        <v>300</v>
      </c>
      <c r="L100" s="305">
        <f>資產配置3a[[#This Row],[金額]]/$C$4</f>
        <v>0.17857142857142858</v>
      </c>
      <c r="M100" s="311">
        <v>0.05</v>
      </c>
    </row>
    <row r="101" spans="2:13" s="313" customFormat="1" ht="19.95" customHeight="1" x14ac:dyDescent="0.3">
      <c r="B101" s="307" t="s">
        <v>55</v>
      </c>
      <c r="C101" s="306">
        <v>650</v>
      </c>
      <c r="D101" s="305">
        <f>資產配置3b[[#This Row],[金額]]/$C$4</f>
        <v>0.38690476190476192</v>
      </c>
      <c r="E101" s="311">
        <v>0.04</v>
      </c>
      <c r="H101" s="30"/>
      <c r="I101" s="30"/>
      <c r="J101" s="307" t="s">
        <v>55</v>
      </c>
      <c r="K101" s="306">
        <v>650</v>
      </c>
      <c r="L101" s="305">
        <f>資產配置3a[[#This Row],[金額]]/$C$4</f>
        <v>0.38690476190476192</v>
      </c>
      <c r="M101" s="311">
        <v>0.04</v>
      </c>
    </row>
    <row r="102" spans="2:13" s="313" customFormat="1" x14ac:dyDescent="0.3">
      <c r="B102" s="308" t="s">
        <v>224</v>
      </c>
      <c r="C102" s="309">
        <v>200</v>
      </c>
      <c r="D102" s="310">
        <f>資產配置3b[[#This Row],[金額]]/$C$4</f>
        <v>0.11904761904761904</v>
      </c>
      <c r="E102" s="312">
        <v>-0.04</v>
      </c>
      <c r="H102" s="30"/>
      <c r="I102" s="30"/>
      <c r="J102" s="308" t="s">
        <v>224</v>
      </c>
      <c r="K102" s="309">
        <v>200</v>
      </c>
      <c r="L102" s="310">
        <f>資產配置3a[[#This Row],[金額]]/$C$4</f>
        <v>0.11904761904761904</v>
      </c>
      <c r="M102" s="312">
        <v>-0.04</v>
      </c>
    </row>
    <row r="103" spans="2:13" x14ac:dyDescent="0.3">
      <c r="H103" s="30"/>
      <c r="I103" s="30"/>
    </row>
    <row r="104" spans="2:13" x14ac:dyDescent="0.3">
      <c r="H104" s="30"/>
      <c r="I104" s="30"/>
    </row>
    <row r="105" spans="2:13" x14ac:dyDescent="0.3">
      <c r="H105" s="30"/>
      <c r="I105" s="30"/>
    </row>
    <row r="106" spans="2:13" x14ac:dyDescent="0.3">
      <c r="H106" s="30"/>
      <c r="I106" s="30"/>
    </row>
    <row r="107" spans="2:13" x14ac:dyDescent="0.3">
      <c r="H107" s="30"/>
      <c r="I107" s="30"/>
    </row>
    <row r="108" spans="2:13" x14ac:dyDescent="0.3">
      <c r="H108" s="30"/>
      <c r="I108" s="30"/>
    </row>
    <row r="109" spans="2:13" x14ac:dyDescent="0.3">
      <c r="H109" s="30"/>
      <c r="I109" s="30"/>
    </row>
    <row r="110" spans="2:13" x14ac:dyDescent="0.3">
      <c r="H110" s="30"/>
      <c r="I110" s="30"/>
    </row>
    <row r="111" spans="2:13" x14ac:dyDescent="0.3">
      <c r="H111" s="30"/>
      <c r="I111" s="30"/>
    </row>
    <row r="112" spans="2:13" x14ac:dyDescent="0.3">
      <c r="H112" s="30"/>
      <c r="I112" s="30"/>
    </row>
    <row r="113" spans="2:16" x14ac:dyDescent="0.3">
      <c r="H113" s="30"/>
      <c r="I113" s="30"/>
    </row>
    <row r="114" spans="2:16" x14ac:dyDescent="0.3">
      <c r="H114" s="30"/>
      <c r="I114" s="30"/>
    </row>
    <row r="115" spans="2:16" x14ac:dyDescent="0.3">
      <c r="H115" s="30"/>
      <c r="I115" s="30"/>
    </row>
    <row r="116" spans="2:16" x14ac:dyDescent="0.3">
      <c r="H116" s="30"/>
      <c r="I116" s="30"/>
    </row>
    <row r="117" spans="2:16" x14ac:dyDescent="0.3">
      <c r="H117" s="30"/>
      <c r="I117" s="30"/>
    </row>
    <row r="118" spans="2:16" x14ac:dyDescent="0.3">
      <c r="H118" s="30"/>
      <c r="I118" s="30"/>
    </row>
    <row r="119" spans="2:16" x14ac:dyDescent="0.3">
      <c r="H119" s="30"/>
      <c r="I119" s="30"/>
    </row>
    <row r="120" spans="2:16" x14ac:dyDescent="0.3">
      <c r="H120" s="30"/>
      <c r="I120" s="30"/>
    </row>
    <row r="121" spans="2:16" x14ac:dyDescent="0.3">
      <c r="H121" s="30"/>
      <c r="I121" s="30"/>
    </row>
    <row r="122" spans="2:16" x14ac:dyDescent="0.3">
      <c r="H122" s="30"/>
      <c r="I122" s="30"/>
    </row>
    <row r="123" spans="2:16" x14ac:dyDescent="0.3">
      <c r="H123" s="30"/>
      <c r="I123" s="30"/>
    </row>
    <row r="124" spans="2:16" x14ac:dyDescent="0.3">
      <c r="B124" s="536" t="s">
        <v>324</v>
      </c>
      <c r="C124" s="537"/>
      <c r="D124" s="537"/>
      <c r="E124" s="537"/>
      <c r="F124" s="537"/>
      <c r="G124" s="537"/>
      <c r="H124" s="538"/>
      <c r="I124" s="30"/>
      <c r="J124" s="536" t="s">
        <v>324</v>
      </c>
      <c r="K124" s="537"/>
      <c r="L124" s="537"/>
      <c r="M124" s="537"/>
      <c r="N124" s="537"/>
      <c r="O124" s="537"/>
      <c r="P124" s="538"/>
    </row>
    <row r="125" spans="2:16" x14ac:dyDescent="0.3">
      <c r="B125" s="539"/>
      <c r="C125" s="30"/>
      <c r="D125" s="30"/>
      <c r="E125" s="30"/>
      <c r="F125" s="30"/>
      <c r="G125" s="30"/>
      <c r="H125" s="540"/>
      <c r="J125" s="539"/>
      <c r="K125" s="30"/>
      <c r="L125" s="30"/>
      <c r="M125" s="30"/>
      <c r="N125" s="30"/>
      <c r="O125" s="30"/>
      <c r="P125" s="540"/>
    </row>
    <row r="126" spans="2:16" x14ac:dyDescent="0.3">
      <c r="B126" s="539"/>
      <c r="C126" s="30"/>
      <c r="D126" s="30"/>
      <c r="E126" s="30"/>
      <c r="F126" s="30"/>
      <c r="G126" s="30"/>
      <c r="H126" s="540"/>
      <c r="J126" s="539"/>
      <c r="K126" s="30"/>
      <c r="L126" s="30"/>
      <c r="M126" s="30"/>
      <c r="N126" s="30"/>
      <c r="O126" s="30"/>
      <c r="P126" s="540"/>
    </row>
    <row r="127" spans="2:16" x14ac:dyDescent="0.3">
      <c r="B127" s="539"/>
      <c r="C127" s="30"/>
      <c r="D127" s="30"/>
      <c r="E127" s="30"/>
      <c r="F127" s="30"/>
      <c r="G127" s="30"/>
      <c r="H127" s="540"/>
      <c r="J127" s="539"/>
      <c r="K127" s="30"/>
      <c r="L127" s="30"/>
      <c r="M127" s="30"/>
      <c r="N127" s="30"/>
      <c r="O127" s="30"/>
      <c r="P127" s="540"/>
    </row>
    <row r="128" spans="2:16" x14ac:dyDescent="0.3">
      <c r="B128" s="539"/>
      <c r="C128" s="30"/>
      <c r="D128" s="30"/>
      <c r="E128" s="30"/>
      <c r="F128" s="30"/>
      <c r="G128" s="30"/>
      <c r="H128" s="540"/>
      <c r="J128" s="539"/>
      <c r="K128" s="30"/>
      <c r="L128" s="30"/>
      <c r="M128" s="30"/>
      <c r="N128" s="30"/>
      <c r="O128" s="30"/>
      <c r="P128" s="540"/>
    </row>
    <row r="129" spans="2:16" x14ac:dyDescent="0.3">
      <c r="B129" s="539"/>
      <c r="C129" s="30"/>
      <c r="D129" s="30"/>
      <c r="E129" s="30"/>
      <c r="F129" s="30"/>
      <c r="G129" s="30"/>
      <c r="H129" s="540"/>
      <c r="J129" s="539"/>
      <c r="K129" s="30"/>
      <c r="L129" s="30"/>
      <c r="M129" s="30"/>
      <c r="N129" s="30"/>
      <c r="O129" s="30"/>
      <c r="P129" s="540"/>
    </row>
    <row r="130" spans="2:16" x14ac:dyDescent="0.3">
      <c r="B130" s="539"/>
      <c r="C130" s="30"/>
      <c r="D130" s="30"/>
      <c r="E130" s="30"/>
      <c r="F130" s="30"/>
      <c r="G130" s="30"/>
      <c r="H130" s="540"/>
      <c r="J130" s="539"/>
      <c r="K130" s="30"/>
      <c r="L130" s="30"/>
      <c r="M130" s="30"/>
      <c r="N130" s="30"/>
      <c r="O130" s="30"/>
      <c r="P130" s="540"/>
    </row>
    <row r="131" spans="2:16" x14ac:dyDescent="0.3">
      <c r="B131" s="539"/>
      <c r="C131" s="30"/>
      <c r="D131" s="30"/>
      <c r="E131" s="30"/>
      <c r="F131" s="30"/>
      <c r="G131" s="30"/>
      <c r="H131" s="540"/>
      <c r="J131" s="539"/>
      <c r="K131" s="30"/>
      <c r="L131" s="30"/>
      <c r="M131" s="30"/>
      <c r="N131" s="30"/>
      <c r="O131" s="30"/>
      <c r="P131" s="540"/>
    </row>
    <row r="132" spans="2:16" x14ac:dyDescent="0.3">
      <c r="B132" s="539"/>
      <c r="C132" s="30"/>
      <c r="D132" s="30"/>
      <c r="E132" s="30"/>
      <c r="F132" s="30"/>
      <c r="G132" s="30"/>
      <c r="H132" s="540"/>
      <c r="J132" s="539"/>
      <c r="K132" s="30"/>
      <c r="L132" s="30"/>
      <c r="M132" s="30"/>
      <c r="N132" s="30"/>
      <c r="O132" s="30"/>
      <c r="P132" s="540"/>
    </row>
    <row r="133" spans="2:16" x14ac:dyDescent="0.3">
      <c r="B133" s="541"/>
      <c r="C133" s="542"/>
      <c r="D133" s="542"/>
      <c r="E133" s="542"/>
      <c r="F133" s="542"/>
      <c r="G133" s="542"/>
      <c r="H133" s="543"/>
      <c r="J133" s="541"/>
      <c r="K133" s="542"/>
      <c r="L133" s="542"/>
      <c r="M133" s="542"/>
      <c r="N133" s="542"/>
      <c r="O133" s="542"/>
      <c r="P133" s="543"/>
    </row>
  </sheetData>
  <phoneticPr fontId="6" type="noConversion"/>
  <pageMargins left="0.39370078740157483" right="0.39370078740157483" top="0.59055118110236227" bottom="0.39370078740157483" header="0.31496062992125984" footer="0.31496062992125984"/>
  <pageSetup paperSize="9" pageOrder="overThenDown" orientation="portrait" horizontalDpi="1200" verticalDpi="1200" r:id="rId1"/>
  <drawing r:id="rId2"/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661302B6-6FBB-477A-87FE-ABD075DE1DAF}">
          <x14:formula1>
            <xm:f>'4.理財目標'!$A$4:$A$9</xm:f>
          </x14:formula1>
          <xm:sqref>B49 J49 B94 J94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65A9-2214-48A7-A59D-AEB6D3CCF668}">
  <dimension ref="B1:H131"/>
  <sheetViews>
    <sheetView showGridLines="0" zoomScale="80" zoomScaleNormal="80" workbookViewId="0">
      <selection activeCell="J12" sqref="J12"/>
    </sheetView>
  </sheetViews>
  <sheetFormatPr defaultRowHeight="15.6" x14ac:dyDescent="0.3"/>
  <cols>
    <col min="1" max="1" width="1.58203125" customWidth="1"/>
    <col min="2" max="2" width="17.1640625" customWidth="1"/>
    <col min="3" max="8" width="15.58203125" customWidth="1"/>
  </cols>
  <sheetData>
    <row r="1" spans="2:8" ht="30" customHeight="1" x14ac:dyDescent="0.5">
      <c r="B1" s="296">
        <f>'4.理財目標'!A2</f>
        <v>30</v>
      </c>
    </row>
    <row r="2" spans="2:8" ht="30" customHeight="1" thickBot="1" x14ac:dyDescent="0.35">
      <c r="B2" s="292" t="s">
        <v>203</v>
      </c>
      <c r="C2" s="557" t="str">
        <f>'4.理財目標'!A4</f>
        <v>子女教育金</v>
      </c>
      <c r="D2" s="558" t="str">
        <f>'4.理財目標'!A5</f>
        <v>購車</v>
      </c>
      <c r="E2" s="558" t="str">
        <f>'4.理財目標'!A6</f>
        <v>購／換屋頭期款</v>
      </c>
      <c r="F2" s="558" t="str">
        <f>'4.理財目標'!A7</f>
        <v>退休金</v>
      </c>
      <c r="G2" s="558" t="str">
        <f>'4.理財目標'!A8</f>
        <v>創業基金</v>
      </c>
      <c r="H2" s="558" t="str">
        <f>'4.理財目標'!A9</f>
        <v>醫療基金</v>
      </c>
    </row>
    <row r="3" spans="2:8" ht="24" customHeight="1" thickTop="1" x14ac:dyDescent="0.3">
      <c r="B3" s="265" t="s">
        <v>138</v>
      </c>
      <c r="C3" s="463">
        <f>'4.理財目標'!B4</f>
        <v>100</v>
      </c>
      <c r="D3" s="464">
        <f>'4.理財目標'!B5</f>
        <v>150</v>
      </c>
      <c r="E3" s="463">
        <f>'4.理財目標'!B6</f>
        <v>500</v>
      </c>
      <c r="F3" s="464">
        <f>'4.理財目標'!B7</f>
        <v>1200</v>
      </c>
      <c r="G3" s="464">
        <f>'4.理財目標'!B8</f>
        <v>100</v>
      </c>
      <c r="H3" s="464">
        <f>'4.理財目標'!B9</f>
        <v>300</v>
      </c>
    </row>
    <row r="4" spans="2:8" ht="24" customHeight="1" x14ac:dyDescent="0.3">
      <c r="B4" s="266" t="s">
        <v>219</v>
      </c>
      <c r="C4" s="465">
        <v>0.03</v>
      </c>
      <c r="D4" s="466">
        <v>0</v>
      </c>
      <c r="E4" s="467">
        <v>0.03</v>
      </c>
      <c r="F4" s="467">
        <v>0</v>
      </c>
      <c r="G4" s="467">
        <v>0.03</v>
      </c>
      <c r="H4" s="467">
        <v>0.03</v>
      </c>
    </row>
    <row r="5" spans="2:8" ht="24" customHeight="1" x14ac:dyDescent="0.3">
      <c r="B5" s="266" t="s">
        <v>220</v>
      </c>
      <c r="C5" s="468">
        <v>36</v>
      </c>
      <c r="D5" s="469">
        <v>38</v>
      </c>
      <c r="E5" s="469">
        <v>40</v>
      </c>
      <c r="F5" s="469">
        <v>55</v>
      </c>
      <c r="G5" s="469">
        <v>45</v>
      </c>
      <c r="H5" s="469">
        <v>60</v>
      </c>
    </row>
    <row r="6" spans="2:8" ht="24" customHeight="1" x14ac:dyDescent="0.3">
      <c r="B6" s="266" t="s">
        <v>206</v>
      </c>
      <c r="C6" s="470">
        <f>FV(C4,C5-$B$1,,-C3)</f>
        <v>119.40522965289999</v>
      </c>
      <c r="D6" s="471">
        <f t="shared" ref="D6:H6" si="0">FV(D4,D5-$B$1,,-D3)</f>
        <v>150</v>
      </c>
      <c r="E6" s="471">
        <f t="shared" si="0"/>
        <v>671.95818967206094</v>
      </c>
      <c r="F6" s="471">
        <f t="shared" si="0"/>
        <v>1200</v>
      </c>
      <c r="G6" s="471">
        <f t="shared" si="0"/>
        <v>155.79674166007644</v>
      </c>
      <c r="H6" s="471">
        <f t="shared" si="0"/>
        <v>728.17874135689772</v>
      </c>
    </row>
    <row r="7" spans="2:8" ht="24" customHeight="1" x14ac:dyDescent="0.3">
      <c r="B7" s="518" t="s">
        <v>253</v>
      </c>
      <c r="C7" s="268">
        <v>30</v>
      </c>
      <c r="D7" s="269">
        <v>100</v>
      </c>
      <c r="E7" s="269">
        <v>250</v>
      </c>
      <c r="F7" s="269">
        <v>0</v>
      </c>
      <c r="G7" s="269">
        <v>30</v>
      </c>
      <c r="H7" s="269">
        <v>30</v>
      </c>
    </row>
    <row r="8" spans="2:8" ht="24" customHeight="1" x14ac:dyDescent="0.3">
      <c r="B8" s="518" t="s">
        <v>254</v>
      </c>
      <c r="C8" s="268">
        <v>10</v>
      </c>
      <c r="D8" s="269">
        <v>10</v>
      </c>
      <c r="E8" s="269">
        <v>100</v>
      </c>
      <c r="F8" s="269">
        <v>0</v>
      </c>
      <c r="G8" s="269">
        <v>10</v>
      </c>
      <c r="H8" s="269">
        <v>10</v>
      </c>
    </row>
    <row r="9" spans="2:8" ht="24" customHeight="1" x14ac:dyDescent="0.3">
      <c r="B9" s="518" t="s">
        <v>255</v>
      </c>
      <c r="C9" s="270">
        <v>0</v>
      </c>
      <c r="D9" s="271">
        <v>0</v>
      </c>
      <c r="E9" s="271">
        <v>0.5</v>
      </c>
      <c r="F9" s="271">
        <v>0</v>
      </c>
      <c r="G9" s="271">
        <v>0.3</v>
      </c>
      <c r="H9" s="271">
        <v>0.3</v>
      </c>
    </row>
    <row r="10" spans="2:8" ht="24" customHeight="1" x14ac:dyDescent="0.3">
      <c r="B10" s="266" t="s">
        <v>289</v>
      </c>
      <c r="C10" s="272">
        <v>0.02</v>
      </c>
      <c r="D10" s="273">
        <v>0.01</v>
      </c>
      <c r="E10" s="273">
        <v>0.05</v>
      </c>
      <c r="F10" s="273">
        <v>0.06</v>
      </c>
      <c r="G10" s="273">
        <v>0.06</v>
      </c>
      <c r="H10" s="273">
        <v>0.06</v>
      </c>
    </row>
    <row r="11" spans="2:8" ht="24" customHeight="1" x14ac:dyDescent="0.3">
      <c r="B11" s="266" t="s">
        <v>218</v>
      </c>
      <c r="C11" s="460">
        <v>35</v>
      </c>
      <c r="D11" s="304">
        <v>35</v>
      </c>
      <c r="E11" s="304">
        <v>35</v>
      </c>
      <c r="F11" s="304">
        <v>40</v>
      </c>
      <c r="G11" s="304">
        <v>40</v>
      </c>
      <c r="H11" s="304">
        <v>40</v>
      </c>
    </row>
    <row r="12" spans="2:8" ht="24" customHeight="1" thickBot="1" x14ac:dyDescent="0.35">
      <c r="B12" s="267" t="s">
        <v>216</v>
      </c>
      <c r="C12" s="297">
        <f>C5-C11</f>
        <v>1</v>
      </c>
      <c r="D12" s="298">
        <f t="shared" ref="D12:H12" si="1">D5-D11</f>
        <v>3</v>
      </c>
      <c r="E12" s="298">
        <f t="shared" si="1"/>
        <v>5</v>
      </c>
      <c r="F12" s="298">
        <f t="shared" si="1"/>
        <v>15</v>
      </c>
      <c r="G12" s="298">
        <f t="shared" si="1"/>
        <v>5</v>
      </c>
      <c r="H12" s="298">
        <f t="shared" si="1"/>
        <v>20</v>
      </c>
    </row>
    <row r="13" spans="2:8" ht="24" customHeight="1" thickTop="1" thickBot="1" x14ac:dyDescent="0.35">
      <c r="B13" s="260"/>
      <c r="C13" s="299" t="b">
        <v>1</v>
      </c>
      <c r="D13" s="300" t="b">
        <v>0</v>
      </c>
      <c r="E13" s="300" t="b">
        <v>0</v>
      </c>
      <c r="F13" s="300" t="b">
        <v>0</v>
      </c>
      <c r="G13" s="300" t="b">
        <v>0</v>
      </c>
      <c r="H13" s="300" t="b">
        <v>0</v>
      </c>
    </row>
    <row r="14" spans="2:8" ht="24" customHeight="1" x14ac:dyDescent="0.3">
      <c r="B14" s="607" t="s">
        <v>256</v>
      </c>
      <c r="C14" s="261">
        <f t="shared" ref="C14:H14" si="2">PV(C10,C12,C9,-(C6-C7))</f>
        <v>87.65218593421568</v>
      </c>
      <c r="D14" s="262">
        <f t="shared" si="2"/>
        <v>48.529507396382229</v>
      </c>
      <c r="E14" s="262">
        <f t="shared" si="2"/>
        <v>328.45054442840541</v>
      </c>
      <c r="F14" s="262">
        <f t="shared" si="2"/>
        <v>500.71807288264841</v>
      </c>
      <c r="G14" s="262">
        <f t="shared" si="2"/>
        <v>92.73893418974238</v>
      </c>
      <c r="H14" s="262">
        <f t="shared" si="2"/>
        <v>214.25445540088799</v>
      </c>
    </row>
    <row r="15" spans="2:8" ht="24" customHeight="1" x14ac:dyDescent="0.3">
      <c r="B15" s="608" t="s">
        <v>257</v>
      </c>
      <c r="C15" s="284">
        <f t="shared" ref="C15:H15" si="3">PMT(C10,C12,C8,-(C6-C7))</f>
        <v>79.205229652900002</v>
      </c>
      <c r="D15" s="285">
        <f t="shared" si="3"/>
        <v>13.100884459258769</v>
      </c>
      <c r="E15" s="285">
        <f t="shared" si="3"/>
        <v>53.266318381643877</v>
      </c>
      <c r="F15" s="285">
        <f t="shared" si="3"/>
        <v>51.555316746375262</v>
      </c>
      <c r="G15" s="285">
        <f t="shared" si="3"/>
        <v>19.941925152157939</v>
      </c>
      <c r="H15" s="285">
        <f t="shared" si="3"/>
        <v>18.107834204674507</v>
      </c>
    </row>
    <row r="16" spans="2:8" ht="24" customHeight="1" x14ac:dyDescent="0.3">
      <c r="B16" s="609" t="s">
        <v>258</v>
      </c>
      <c r="C16" s="263">
        <f t="shared" ref="C16:H16" si="4">C15/12</f>
        <v>6.6004358044083338</v>
      </c>
      <c r="D16" s="264">
        <f t="shared" si="4"/>
        <v>1.0917403716048975</v>
      </c>
      <c r="E16" s="264">
        <f t="shared" si="4"/>
        <v>4.4388598651369895</v>
      </c>
      <c r="F16" s="264">
        <f t="shared" si="4"/>
        <v>4.2962763955312715</v>
      </c>
      <c r="G16" s="264">
        <f t="shared" si="4"/>
        <v>1.6618270960131616</v>
      </c>
      <c r="H16" s="264">
        <f t="shared" si="4"/>
        <v>1.5089861837228755</v>
      </c>
    </row>
    <row r="17" spans="2:8" ht="19.95" customHeight="1" x14ac:dyDescent="0.3">
      <c r="C17" s="301" t="b">
        <v>0</v>
      </c>
      <c r="D17" s="301" t="b">
        <v>1</v>
      </c>
      <c r="E17" s="301" t="b">
        <v>0</v>
      </c>
      <c r="F17" s="301" t="b">
        <v>0</v>
      </c>
      <c r="G17" s="301" t="b">
        <v>0</v>
      </c>
      <c r="H17" s="301" t="b">
        <v>0</v>
      </c>
    </row>
    <row r="18" spans="2:8" ht="19.95" customHeight="1" x14ac:dyDescent="0.3">
      <c r="B18" s="276" t="s">
        <v>213</v>
      </c>
    </row>
    <row r="19" spans="2:8" ht="24" customHeight="1" x14ac:dyDescent="0.3">
      <c r="B19" s="274" t="s">
        <v>211</v>
      </c>
      <c r="C19" s="278" cm="1">
        <f t="array" ref="C19">SUMPRODUCT(C14:H14*C13:H13)</f>
        <v>87.65218593421568</v>
      </c>
      <c r="D19" s="279" t="str">
        <f>IF(C19&gt;G19,"&lt;現有資產不足","")</f>
        <v/>
      </c>
      <c r="F19" s="280" t="s">
        <v>214</v>
      </c>
      <c r="G19" s="281">
        <f>'2.資產負債表'!H19/10000</f>
        <v>472</v>
      </c>
    </row>
    <row r="20" spans="2:8" ht="24" customHeight="1" x14ac:dyDescent="0.3">
      <c r="B20" s="275" t="s">
        <v>212</v>
      </c>
      <c r="C20" s="277" cm="1">
        <f t="array" ref="C20">SUMPRODUCT(C16:H16*C17:H17)</f>
        <v>1.0917403716048975</v>
      </c>
      <c r="D20" s="279" t="str">
        <f>IF(C20&gt;G20,"&lt;每月結餘不足","")</f>
        <v/>
      </c>
      <c r="F20" s="282" t="s">
        <v>215</v>
      </c>
      <c r="G20" s="283">
        <f>'1.收支表'!B28/10000</f>
        <v>2.6150000000000002</v>
      </c>
    </row>
    <row r="25" spans="2:8" x14ac:dyDescent="0.3">
      <c r="B25" s="302" t="s">
        <v>35</v>
      </c>
      <c r="C25" s="302" t="s">
        <v>137</v>
      </c>
      <c r="D25" t="s">
        <v>222</v>
      </c>
      <c r="E25" s="303" t="s">
        <v>37</v>
      </c>
    </row>
    <row r="26" spans="2:8" x14ac:dyDescent="0.3">
      <c r="B26" s="302" t="str">
        <f>C2</f>
        <v>子女教育金</v>
      </c>
      <c r="C26" s="291">
        <v>70</v>
      </c>
      <c r="D26" s="291">
        <f>B1</f>
        <v>30</v>
      </c>
      <c r="E26" s="303">
        <v>2.5</v>
      </c>
    </row>
    <row r="27" spans="2:8" x14ac:dyDescent="0.3">
      <c r="B27" s="302" t="str">
        <f>D2</f>
        <v>購車</v>
      </c>
      <c r="C27" s="291">
        <v>70</v>
      </c>
      <c r="D27" s="291">
        <f>D26</f>
        <v>30</v>
      </c>
      <c r="E27" s="303">
        <v>7.5</v>
      </c>
    </row>
    <row r="28" spans="2:8" x14ac:dyDescent="0.3">
      <c r="B28" s="302" t="str">
        <f>E2</f>
        <v>購／換屋頭期款</v>
      </c>
      <c r="C28" s="291">
        <v>70</v>
      </c>
      <c r="D28" s="291">
        <f t="shared" ref="D28:D31" si="5">D27</f>
        <v>30</v>
      </c>
      <c r="E28" s="303">
        <v>12.5</v>
      </c>
    </row>
    <row r="29" spans="2:8" x14ac:dyDescent="0.3">
      <c r="B29" s="302" t="str">
        <f>F2</f>
        <v>退休金</v>
      </c>
      <c r="C29" s="291">
        <v>70</v>
      </c>
      <c r="D29" s="291">
        <f t="shared" si="5"/>
        <v>30</v>
      </c>
      <c r="E29" s="303">
        <v>17.5</v>
      </c>
    </row>
    <row r="30" spans="2:8" x14ac:dyDescent="0.3">
      <c r="B30" s="302" t="str">
        <f>G2</f>
        <v>創業基金</v>
      </c>
      <c r="C30" s="291">
        <v>70</v>
      </c>
      <c r="D30" s="291">
        <f t="shared" si="5"/>
        <v>30</v>
      </c>
      <c r="E30" s="303">
        <v>22.5</v>
      </c>
    </row>
    <row r="31" spans="2:8" x14ac:dyDescent="0.3">
      <c r="B31" s="302" t="str">
        <f>H2</f>
        <v>醫療基金</v>
      </c>
      <c r="C31" s="291">
        <v>70</v>
      </c>
      <c r="D31" s="291">
        <f t="shared" si="5"/>
        <v>30</v>
      </c>
      <c r="E31" s="303">
        <v>27.5</v>
      </c>
    </row>
    <row r="55" spans="3:8" ht="21.6" thickBot="1" x14ac:dyDescent="0.55000000000000004">
      <c r="C55" s="296">
        <v>30</v>
      </c>
      <c r="E55" s="296">
        <v>32</v>
      </c>
      <c r="F55" s="313"/>
      <c r="G55" s="296">
        <v>35</v>
      </c>
      <c r="H55" s="313"/>
    </row>
    <row r="56" spans="3:8" ht="19.95" customHeight="1" thickTop="1" x14ac:dyDescent="0.3">
      <c r="C56" s="561" t="s">
        <v>323</v>
      </c>
      <c r="D56" s="281">
        <v>646.6</v>
      </c>
      <c r="E56" s="559" t="s">
        <v>321</v>
      </c>
      <c r="F56" s="444">
        <f>D74</f>
        <v>730.43376000000012</v>
      </c>
      <c r="G56" s="559" t="s">
        <v>322</v>
      </c>
      <c r="H56" s="446">
        <f>F74</f>
        <v>818.02371510016042</v>
      </c>
    </row>
    <row r="57" spans="3:8" ht="19.95" customHeight="1" x14ac:dyDescent="0.3">
      <c r="C57" s="560" t="s">
        <v>248</v>
      </c>
      <c r="D57" s="283">
        <v>3.1</v>
      </c>
      <c r="E57" s="560" t="s">
        <v>248</v>
      </c>
      <c r="F57" s="283">
        <v>3.1</v>
      </c>
      <c r="G57" s="560" t="s">
        <v>248</v>
      </c>
      <c r="H57" s="283">
        <v>3.1</v>
      </c>
    </row>
    <row r="58" spans="3:8" ht="19.95" customHeight="1" x14ac:dyDescent="0.3">
      <c r="C58" s="560" t="s">
        <v>249</v>
      </c>
      <c r="D58" s="290"/>
      <c r="E58" s="560" t="s">
        <v>249</v>
      </c>
      <c r="F58" s="290"/>
      <c r="G58" s="560" t="s">
        <v>249</v>
      </c>
      <c r="H58" s="290"/>
    </row>
    <row r="59" spans="3:8" ht="19.95" customHeight="1" x14ac:dyDescent="0.3">
      <c r="C59" s="610" t="s">
        <v>111</v>
      </c>
      <c r="D59" s="283">
        <v>1.2</v>
      </c>
      <c r="E59" s="610" t="s">
        <v>111</v>
      </c>
      <c r="F59" s="283">
        <v>1.2</v>
      </c>
      <c r="G59" s="610" t="s">
        <v>4</v>
      </c>
      <c r="H59" s="283">
        <v>2.72</v>
      </c>
    </row>
    <row r="60" spans="3:8" ht="19.95" customHeight="1" x14ac:dyDescent="0.3">
      <c r="C60" s="611"/>
      <c r="D60" s="283"/>
      <c r="E60" s="611" t="s">
        <v>41</v>
      </c>
      <c r="F60" s="283">
        <v>0.63</v>
      </c>
      <c r="G60" s="611"/>
      <c r="H60" s="283"/>
    </row>
    <row r="61" spans="3:8" ht="19.95" customHeight="1" x14ac:dyDescent="0.3">
      <c r="C61" s="611"/>
      <c r="D61" s="283"/>
      <c r="E61" s="611"/>
      <c r="F61" s="283"/>
      <c r="G61" s="611"/>
      <c r="H61" s="283"/>
    </row>
    <row r="62" spans="3:8" ht="19.95" customHeight="1" x14ac:dyDescent="0.3">
      <c r="C62" s="611"/>
      <c r="D62" s="283"/>
      <c r="E62" s="611"/>
      <c r="F62" s="283"/>
      <c r="G62" s="611"/>
      <c r="H62" s="283"/>
    </row>
    <row r="63" spans="3:8" ht="19.95" customHeight="1" x14ac:dyDescent="0.3">
      <c r="C63" s="612"/>
      <c r="D63" s="283"/>
      <c r="E63" s="612"/>
      <c r="F63" s="283"/>
      <c r="G63" s="612"/>
      <c r="H63" s="283"/>
    </row>
    <row r="64" spans="3:8" ht="19.95" customHeight="1" x14ac:dyDescent="0.3">
      <c r="C64" s="560" t="s">
        <v>250</v>
      </c>
      <c r="D64" s="283"/>
      <c r="E64" s="560" t="s">
        <v>250</v>
      </c>
      <c r="F64" s="283"/>
      <c r="G64" s="560" t="s">
        <v>250</v>
      </c>
      <c r="H64" s="283"/>
    </row>
    <row r="65" spans="3:8" ht="19.95" customHeight="1" x14ac:dyDescent="0.3">
      <c r="C65" s="610"/>
      <c r="D65" s="283"/>
      <c r="E65" s="610" t="s">
        <v>40</v>
      </c>
      <c r="F65" s="283">
        <v>47</v>
      </c>
      <c r="G65" s="610" t="s">
        <v>134</v>
      </c>
      <c r="H65" s="283">
        <v>68</v>
      </c>
    </row>
    <row r="66" spans="3:8" ht="19.95" customHeight="1" x14ac:dyDescent="0.3">
      <c r="C66" s="611"/>
      <c r="D66" s="283"/>
      <c r="E66" s="611"/>
      <c r="F66" s="283"/>
      <c r="G66" s="611"/>
      <c r="H66" s="283"/>
    </row>
    <row r="67" spans="3:8" ht="18.600000000000001" x14ac:dyDescent="0.3">
      <c r="C67" s="611"/>
      <c r="D67" s="283"/>
      <c r="E67" s="611"/>
      <c r="F67" s="283"/>
      <c r="G67" s="611"/>
      <c r="H67" s="283"/>
    </row>
    <row r="68" spans="3:8" ht="18.600000000000001" x14ac:dyDescent="0.3">
      <c r="C68" s="611"/>
      <c r="D68" s="283"/>
      <c r="E68" s="611"/>
      <c r="F68" s="283"/>
      <c r="G68" s="611"/>
      <c r="H68" s="283"/>
    </row>
    <row r="69" spans="3:8" ht="19.2" thickBot="1" x14ac:dyDescent="0.35">
      <c r="C69" s="613"/>
      <c r="D69" s="283"/>
      <c r="E69" s="613"/>
      <c r="F69" s="283"/>
      <c r="G69" s="613"/>
      <c r="H69" s="283"/>
    </row>
    <row r="70" spans="3:8" ht="19.8" thickTop="1" thickBot="1" x14ac:dyDescent="0.35">
      <c r="C70" s="562" t="s">
        <v>291</v>
      </c>
      <c r="D70" s="283">
        <f>D56-SUM(D65:D69)</f>
        <v>646.6</v>
      </c>
      <c r="E70" s="562" t="s">
        <v>290</v>
      </c>
      <c r="F70" s="283">
        <f>F56-SUM(F65:F69)</f>
        <v>683.43376000000012</v>
      </c>
      <c r="G70" s="562" t="s">
        <v>290</v>
      </c>
      <c r="H70" s="283">
        <f>H56-SUM(H65:H69)</f>
        <v>750.02371510016042</v>
      </c>
    </row>
    <row r="71" spans="3:8" ht="19.8" thickTop="1" thickBot="1" x14ac:dyDescent="0.35">
      <c r="C71" s="562" t="s">
        <v>251</v>
      </c>
      <c r="D71" s="283">
        <f>D57-SUM(D59:D63)</f>
        <v>1.9000000000000001</v>
      </c>
      <c r="E71" s="562" t="s">
        <v>251</v>
      </c>
      <c r="F71" s="283">
        <f>F57-SUM(F59:F63)</f>
        <v>1.27</v>
      </c>
      <c r="G71" s="562" t="s">
        <v>251</v>
      </c>
      <c r="H71" s="283">
        <f>H57-SUM(H59:H63)</f>
        <v>0.37999999999999989</v>
      </c>
    </row>
    <row r="72" spans="3:8" ht="24" customHeight="1" thickTop="1" x14ac:dyDescent="0.3">
      <c r="C72" t="s">
        <v>252</v>
      </c>
      <c r="D72" s="342">
        <v>2</v>
      </c>
      <c r="E72" s="313" t="s">
        <v>252</v>
      </c>
      <c r="F72" s="342">
        <v>3</v>
      </c>
      <c r="G72" s="313" t="s">
        <v>252</v>
      </c>
      <c r="H72" s="342">
        <v>2</v>
      </c>
    </row>
    <row r="73" spans="3:8" ht="24" customHeight="1" x14ac:dyDescent="0.3">
      <c r="C73" t="s">
        <v>204</v>
      </c>
      <c r="D73" s="341">
        <v>0.06</v>
      </c>
      <c r="E73" s="313" t="s">
        <v>204</v>
      </c>
      <c r="F73" s="341">
        <v>0.06</v>
      </c>
      <c r="G73" s="313" t="s">
        <v>204</v>
      </c>
      <c r="H73" s="341">
        <v>0.06</v>
      </c>
    </row>
    <row r="74" spans="3:8" ht="24" customHeight="1" x14ac:dyDescent="0.3">
      <c r="C74" s="563" t="s">
        <v>320</v>
      </c>
      <c r="D74" s="443">
        <f>FV(D73,D72,-D71,-D70)</f>
        <v>730.43376000000012</v>
      </c>
      <c r="E74" s="563" t="s">
        <v>319</v>
      </c>
      <c r="F74" s="445">
        <f>FV(F73,F72,-F71,-F70)</f>
        <v>818.02371510016042</v>
      </c>
      <c r="G74" s="563" t="s">
        <v>318</v>
      </c>
      <c r="H74" s="447">
        <f>FV(H73,H72,-H71,-H70)</f>
        <v>843.50944628654031</v>
      </c>
    </row>
    <row r="81" spans="3:8" s="313" customFormat="1" ht="21.6" thickBot="1" x14ac:dyDescent="0.55000000000000004">
      <c r="C81" s="296">
        <v>40</v>
      </c>
      <c r="E81" s="296">
        <v>45</v>
      </c>
      <c r="G81" s="296">
        <v>50</v>
      </c>
    </row>
    <row r="82" spans="3:8" s="313" customFormat="1" ht="19.95" customHeight="1" thickTop="1" x14ac:dyDescent="0.3">
      <c r="C82" s="559" t="s">
        <v>312</v>
      </c>
      <c r="D82" s="448">
        <f>H74</f>
        <v>843.50944628654031</v>
      </c>
      <c r="E82" s="559" t="s">
        <v>313</v>
      </c>
      <c r="F82" s="450">
        <f>D100</f>
        <v>954.1532138475568</v>
      </c>
      <c r="G82" s="559" t="s">
        <v>314</v>
      </c>
      <c r="H82" s="451">
        <f>F100</f>
        <v>1146.280904143862</v>
      </c>
    </row>
    <row r="83" spans="3:8" s="313" customFormat="1" ht="19.95" customHeight="1" x14ac:dyDescent="0.3">
      <c r="C83" s="560" t="s">
        <v>248</v>
      </c>
      <c r="D83" s="283">
        <v>3.1</v>
      </c>
      <c r="E83" s="560" t="s">
        <v>248</v>
      </c>
      <c r="F83" s="283">
        <v>3.1</v>
      </c>
      <c r="G83" s="560" t="s">
        <v>248</v>
      </c>
      <c r="H83" s="283">
        <v>3.1</v>
      </c>
    </row>
    <row r="84" spans="3:8" s="313" customFormat="1" ht="19.95" customHeight="1" x14ac:dyDescent="0.3">
      <c r="C84" s="560" t="s">
        <v>249</v>
      </c>
      <c r="D84" s="290"/>
      <c r="E84" s="560" t="s">
        <v>249</v>
      </c>
      <c r="F84" s="290"/>
      <c r="G84" s="560" t="s">
        <v>249</v>
      </c>
      <c r="H84" s="290"/>
    </row>
    <row r="85" spans="3:8" s="313" customFormat="1" ht="19.95" customHeight="1" x14ac:dyDescent="0.3">
      <c r="C85" s="614"/>
      <c r="D85" s="283"/>
      <c r="E85" s="614" t="s">
        <v>111</v>
      </c>
      <c r="F85" s="283"/>
      <c r="G85" s="614" t="s">
        <v>134</v>
      </c>
      <c r="H85" s="283"/>
    </row>
    <row r="86" spans="3:8" s="313" customFormat="1" ht="19.95" customHeight="1" x14ac:dyDescent="0.3">
      <c r="C86" s="614"/>
      <c r="D86" s="283"/>
      <c r="E86" s="614" t="s">
        <v>41</v>
      </c>
      <c r="F86" s="283"/>
      <c r="G86" s="614" t="s">
        <v>4</v>
      </c>
      <c r="H86" s="283"/>
    </row>
    <row r="87" spans="3:8" s="313" customFormat="1" ht="19.95" customHeight="1" x14ac:dyDescent="0.3">
      <c r="C87" s="614"/>
      <c r="D87" s="283"/>
      <c r="E87" s="614"/>
      <c r="F87" s="283"/>
      <c r="G87" s="614"/>
      <c r="H87" s="283"/>
    </row>
    <row r="88" spans="3:8" s="313" customFormat="1" ht="19.95" customHeight="1" x14ac:dyDescent="0.3">
      <c r="C88" s="614"/>
      <c r="D88" s="283"/>
      <c r="E88" s="614"/>
      <c r="F88" s="283"/>
      <c r="G88" s="614"/>
      <c r="H88" s="283"/>
    </row>
    <row r="89" spans="3:8" s="313" customFormat="1" ht="19.95" customHeight="1" x14ac:dyDescent="0.3">
      <c r="C89" s="614"/>
      <c r="D89" s="283"/>
      <c r="E89" s="614"/>
      <c r="F89" s="283"/>
      <c r="G89" s="614"/>
      <c r="H89" s="283"/>
    </row>
    <row r="90" spans="3:8" s="313" customFormat="1" ht="19.95" customHeight="1" x14ac:dyDescent="0.3">
      <c r="C90" s="560" t="s">
        <v>250</v>
      </c>
      <c r="D90" s="283"/>
      <c r="E90" s="560" t="s">
        <v>250</v>
      </c>
      <c r="F90" s="283"/>
      <c r="G90" s="560" t="s">
        <v>250</v>
      </c>
      <c r="H90" s="283"/>
    </row>
    <row r="91" spans="3:8" s="313" customFormat="1" ht="19.95" customHeight="1" x14ac:dyDescent="0.3">
      <c r="C91" s="610"/>
      <c r="D91" s="283"/>
      <c r="E91" s="610" t="s">
        <v>40</v>
      </c>
      <c r="F91" s="283"/>
      <c r="G91" s="610"/>
      <c r="H91" s="283"/>
    </row>
    <row r="92" spans="3:8" s="313" customFormat="1" ht="19.95" customHeight="1" x14ac:dyDescent="0.3">
      <c r="C92" s="611"/>
      <c r="D92" s="283"/>
      <c r="E92" s="611"/>
      <c r="F92" s="283"/>
      <c r="G92" s="611"/>
      <c r="H92" s="283"/>
    </row>
    <row r="93" spans="3:8" s="313" customFormat="1" ht="18.600000000000001" x14ac:dyDescent="0.3">
      <c r="C93" s="611"/>
      <c r="D93" s="283"/>
      <c r="E93" s="611"/>
      <c r="F93" s="283"/>
      <c r="G93" s="611"/>
      <c r="H93" s="283"/>
    </row>
    <row r="94" spans="3:8" s="313" customFormat="1" ht="18.600000000000001" x14ac:dyDescent="0.3">
      <c r="C94" s="611"/>
      <c r="D94" s="283"/>
      <c r="E94" s="611"/>
      <c r="F94" s="283"/>
      <c r="G94" s="611"/>
      <c r="H94" s="283"/>
    </row>
    <row r="95" spans="3:8" s="313" customFormat="1" ht="19.2" thickBot="1" x14ac:dyDescent="0.35">
      <c r="C95" s="613"/>
      <c r="D95" s="283"/>
      <c r="E95" s="613"/>
      <c r="F95" s="283"/>
      <c r="G95" s="613"/>
      <c r="H95" s="283"/>
    </row>
    <row r="96" spans="3:8" s="313" customFormat="1" ht="19.8" thickTop="1" thickBot="1" x14ac:dyDescent="0.35">
      <c r="C96" s="562" t="s">
        <v>290</v>
      </c>
      <c r="D96" s="283">
        <f>D82-SUM(D91:D95)</f>
        <v>843.50944628654031</v>
      </c>
      <c r="E96" s="562" t="s">
        <v>290</v>
      </c>
      <c r="F96" s="283">
        <f>F82-SUM(F91:F95)</f>
        <v>954.1532138475568</v>
      </c>
      <c r="G96" s="562" t="s">
        <v>290</v>
      </c>
      <c r="H96" s="283">
        <f>H82-SUM(H91:H95)</f>
        <v>1146.280904143862</v>
      </c>
    </row>
    <row r="97" spans="3:8" s="313" customFormat="1" ht="19.8" thickTop="1" thickBot="1" x14ac:dyDescent="0.35">
      <c r="C97" s="562" t="s">
        <v>251</v>
      </c>
      <c r="D97" s="283">
        <f>D83-SUM(D85:D89)</f>
        <v>3.1</v>
      </c>
      <c r="E97" s="562" t="s">
        <v>251</v>
      </c>
      <c r="F97" s="283">
        <f>F83-SUM(F85:F89)</f>
        <v>3.1</v>
      </c>
      <c r="G97" s="562" t="s">
        <v>251</v>
      </c>
      <c r="H97" s="283">
        <f>H83-SUM(H85:H89)</f>
        <v>3.1</v>
      </c>
    </row>
    <row r="98" spans="3:8" s="313" customFormat="1" ht="24" customHeight="1" thickTop="1" x14ac:dyDescent="0.3">
      <c r="C98" s="313" t="s">
        <v>252</v>
      </c>
      <c r="D98" s="342">
        <v>2</v>
      </c>
      <c r="E98" s="313" t="s">
        <v>252</v>
      </c>
      <c r="F98" s="342">
        <v>3</v>
      </c>
      <c r="G98" s="313" t="s">
        <v>252</v>
      </c>
      <c r="H98" s="342">
        <v>2</v>
      </c>
    </row>
    <row r="99" spans="3:8" s="313" customFormat="1" ht="24" customHeight="1" x14ac:dyDescent="0.3">
      <c r="C99" s="313" t="s">
        <v>204</v>
      </c>
      <c r="D99" s="341">
        <v>0.06</v>
      </c>
      <c r="E99" s="313" t="s">
        <v>204</v>
      </c>
      <c r="F99" s="341">
        <v>0.06</v>
      </c>
      <c r="G99" s="313" t="s">
        <v>204</v>
      </c>
      <c r="H99" s="341">
        <v>0.06</v>
      </c>
    </row>
    <row r="100" spans="3:8" s="313" customFormat="1" ht="24" customHeight="1" x14ac:dyDescent="0.3">
      <c r="C100" s="563" t="s">
        <v>317</v>
      </c>
      <c r="D100" s="449">
        <f>FV(D99,D98,-D97,-D96)</f>
        <v>954.1532138475568</v>
      </c>
      <c r="E100" s="563" t="s">
        <v>316</v>
      </c>
      <c r="F100" s="452">
        <f>FV(F99,F98,-F97,-F96)</f>
        <v>1146.280904143862</v>
      </c>
      <c r="G100" s="563" t="s">
        <v>315</v>
      </c>
      <c r="H100" s="453">
        <f>FV(H99,H98,-H97,-H96)</f>
        <v>1294.3472238960435</v>
      </c>
    </row>
    <row r="106" spans="3:8" s="313" customFormat="1" x14ac:dyDescent="0.3"/>
    <row r="107" spans="3:8" s="313" customFormat="1" ht="21.6" thickBot="1" x14ac:dyDescent="0.55000000000000004">
      <c r="C107" s="296">
        <v>60</v>
      </c>
      <c r="E107" s="296">
        <v>65</v>
      </c>
      <c r="G107" s="296">
        <v>70</v>
      </c>
    </row>
    <row r="108" spans="3:8" s="313" customFormat="1" ht="19.95" customHeight="1" thickTop="1" x14ac:dyDescent="0.3">
      <c r="C108" s="564" t="s">
        <v>329</v>
      </c>
      <c r="D108" s="454">
        <f>H100</f>
        <v>1294.3472238960435</v>
      </c>
      <c r="E108" s="564" t="s">
        <v>330</v>
      </c>
      <c r="F108" s="456">
        <f>D126</f>
        <v>1458.2425407695946</v>
      </c>
      <c r="G108" s="564" t="s">
        <v>331</v>
      </c>
      <c r="H108" s="458">
        <f>F126</f>
        <v>1746.65935793724</v>
      </c>
    </row>
    <row r="109" spans="3:8" s="313" customFormat="1" ht="19.95" customHeight="1" x14ac:dyDescent="0.3">
      <c r="C109" s="560" t="s">
        <v>248</v>
      </c>
      <c r="D109" s="283">
        <v>3.1</v>
      </c>
      <c r="E109" s="560" t="s">
        <v>248</v>
      </c>
      <c r="F109" s="283">
        <v>3.1</v>
      </c>
      <c r="G109" s="560" t="s">
        <v>248</v>
      </c>
      <c r="H109" s="283">
        <v>3.1</v>
      </c>
    </row>
    <row r="110" spans="3:8" s="313" customFormat="1" ht="19.95" customHeight="1" x14ac:dyDescent="0.3">
      <c r="C110" s="560" t="s">
        <v>249</v>
      </c>
      <c r="D110" s="290"/>
      <c r="E110" s="560" t="s">
        <v>249</v>
      </c>
      <c r="F110" s="290"/>
      <c r="G110" s="560" t="s">
        <v>249</v>
      </c>
      <c r="H110" s="290"/>
    </row>
    <row r="111" spans="3:8" s="313" customFormat="1" ht="19.95" customHeight="1" x14ac:dyDescent="0.3">
      <c r="C111" s="614"/>
      <c r="D111" s="283">
        <v>1.2</v>
      </c>
      <c r="E111" s="614"/>
      <c r="F111" s="283"/>
      <c r="G111" s="614" t="s">
        <v>134</v>
      </c>
      <c r="H111" s="283"/>
    </row>
    <row r="112" spans="3:8" s="313" customFormat="1" ht="19.95" customHeight="1" x14ac:dyDescent="0.3">
      <c r="C112" s="614"/>
      <c r="D112" s="283"/>
      <c r="E112" s="614"/>
      <c r="F112" s="283"/>
      <c r="G112" s="614" t="s">
        <v>4</v>
      </c>
      <c r="H112" s="283"/>
    </row>
    <row r="113" spans="3:8" s="313" customFormat="1" ht="19.95" customHeight="1" x14ac:dyDescent="0.3">
      <c r="C113" s="614"/>
      <c r="D113" s="283"/>
      <c r="E113" s="614"/>
      <c r="F113" s="283"/>
      <c r="G113" s="614"/>
      <c r="H113" s="283"/>
    </row>
    <row r="114" spans="3:8" s="313" customFormat="1" ht="19.95" customHeight="1" x14ac:dyDescent="0.3">
      <c r="C114" s="614"/>
      <c r="D114" s="283"/>
      <c r="E114" s="614"/>
      <c r="F114" s="283"/>
      <c r="G114" s="614"/>
      <c r="H114" s="283"/>
    </row>
    <row r="115" spans="3:8" s="313" customFormat="1" ht="19.95" customHeight="1" x14ac:dyDescent="0.3">
      <c r="C115" s="614"/>
      <c r="D115" s="283"/>
      <c r="E115" s="614"/>
      <c r="F115" s="283"/>
      <c r="G115" s="614"/>
      <c r="H115" s="283"/>
    </row>
    <row r="116" spans="3:8" s="313" customFormat="1" ht="19.95" customHeight="1" x14ac:dyDescent="0.3">
      <c r="C116" s="560" t="s">
        <v>250</v>
      </c>
      <c r="D116" s="283"/>
      <c r="E116" s="560" t="s">
        <v>250</v>
      </c>
      <c r="F116" s="283"/>
      <c r="G116" s="560" t="s">
        <v>250</v>
      </c>
      <c r="H116" s="283"/>
    </row>
    <row r="117" spans="3:8" s="313" customFormat="1" ht="19.95" customHeight="1" x14ac:dyDescent="0.3">
      <c r="C117" s="610"/>
      <c r="D117" s="283"/>
      <c r="E117" s="610" t="s">
        <v>40</v>
      </c>
      <c r="F117" s="283"/>
      <c r="G117" s="610"/>
      <c r="H117" s="283"/>
    </row>
    <row r="118" spans="3:8" s="313" customFormat="1" ht="19.95" customHeight="1" x14ac:dyDescent="0.3">
      <c r="C118" s="611"/>
      <c r="D118" s="283"/>
      <c r="E118" s="611"/>
      <c r="F118" s="283"/>
      <c r="G118" s="611"/>
      <c r="H118" s="283"/>
    </row>
    <row r="119" spans="3:8" s="313" customFormat="1" ht="18.600000000000001" x14ac:dyDescent="0.3">
      <c r="C119" s="611"/>
      <c r="D119" s="283"/>
      <c r="E119" s="611"/>
      <c r="F119" s="283"/>
      <c r="G119" s="611"/>
      <c r="H119" s="283"/>
    </row>
    <row r="120" spans="3:8" s="313" customFormat="1" ht="18.600000000000001" x14ac:dyDescent="0.3">
      <c r="C120" s="611"/>
      <c r="D120" s="283"/>
      <c r="E120" s="611"/>
      <c r="F120" s="283"/>
      <c r="G120" s="611"/>
      <c r="H120" s="283"/>
    </row>
    <row r="121" spans="3:8" s="313" customFormat="1" ht="19.2" thickBot="1" x14ac:dyDescent="0.35">
      <c r="C121" s="613"/>
      <c r="D121" s="283"/>
      <c r="E121" s="613"/>
      <c r="F121" s="283"/>
      <c r="G121" s="613"/>
      <c r="H121" s="283"/>
    </row>
    <row r="122" spans="3:8" s="313" customFormat="1" ht="19.8" thickTop="1" thickBot="1" x14ac:dyDescent="0.35">
      <c r="C122" s="562" t="s">
        <v>290</v>
      </c>
      <c r="D122" s="283">
        <f>D108-SUM(D117:D121)</f>
        <v>1294.3472238960435</v>
      </c>
      <c r="E122" s="562" t="s">
        <v>290</v>
      </c>
      <c r="F122" s="283">
        <f>F108-SUM(F117:F121)</f>
        <v>1458.2425407695946</v>
      </c>
      <c r="G122" s="562" t="s">
        <v>290</v>
      </c>
      <c r="H122" s="283">
        <f>H108-SUM(H117:H121)</f>
        <v>1746.65935793724</v>
      </c>
    </row>
    <row r="123" spans="3:8" s="313" customFormat="1" ht="19.8" thickTop="1" thickBot="1" x14ac:dyDescent="0.35">
      <c r="C123" s="562" t="s">
        <v>251</v>
      </c>
      <c r="D123" s="283">
        <f>D109-SUM(D111:D115)</f>
        <v>1.9000000000000001</v>
      </c>
      <c r="E123" s="562" t="s">
        <v>251</v>
      </c>
      <c r="F123" s="283">
        <f>F109-SUM(F111:F115)</f>
        <v>3.1</v>
      </c>
      <c r="G123" s="562" t="s">
        <v>251</v>
      </c>
      <c r="H123" s="283">
        <f>H109-SUM(H111:H115)</f>
        <v>3.1</v>
      </c>
    </row>
    <row r="124" spans="3:8" s="313" customFormat="1" ht="24" customHeight="1" thickTop="1" x14ac:dyDescent="0.3">
      <c r="C124" s="313" t="s">
        <v>252</v>
      </c>
      <c r="D124" s="342">
        <v>2</v>
      </c>
      <c r="E124" s="313" t="s">
        <v>252</v>
      </c>
      <c r="F124" s="342">
        <v>3</v>
      </c>
      <c r="G124" s="313" t="s">
        <v>252</v>
      </c>
      <c r="H124" s="342">
        <v>2</v>
      </c>
    </row>
    <row r="125" spans="3:8" s="313" customFormat="1" ht="24" customHeight="1" x14ac:dyDescent="0.3">
      <c r="C125" s="313" t="s">
        <v>204</v>
      </c>
      <c r="D125" s="341">
        <v>0.06</v>
      </c>
      <c r="E125" s="313" t="s">
        <v>204</v>
      </c>
      <c r="F125" s="341">
        <v>0.06</v>
      </c>
      <c r="G125" s="313" t="s">
        <v>204</v>
      </c>
      <c r="H125" s="341">
        <v>0.06</v>
      </c>
    </row>
    <row r="126" spans="3:8" s="313" customFormat="1" ht="24" customHeight="1" x14ac:dyDescent="0.3">
      <c r="C126" s="565" t="s">
        <v>332</v>
      </c>
      <c r="D126" s="455">
        <f>FV(D125,D124,-D123,-D122)</f>
        <v>1458.2425407695946</v>
      </c>
      <c r="E126" s="565" t="s">
        <v>333</v>
      </c>
      <c r="F126" s="457">
        <f>FV(F125,F124,-F123,-F122)</f>
        <v>1746.65935793724</v>
      </c>
      <c r="G126" s="565" t="s">
        <v>328</v>
      </c>
      <c r="H126" s="283">
        <f>FV(H125,H124,-H123,-H122)</f>
        <v>1968.9324545782831</v>
      </c>
    </row>
    <row r="127" spans="3:8" s="313" customFormat="1" x14ac:dyDescent="0.3"/>
    <row r="128" spans="3:8" s="313" customFormat="1" x14ac:dyDescent="0.3"/>
    <row r="129" s="313" customFormat="1" x14ac:dyDescent="0.3"/>
    <row r="130" s="313" customFormat="1" x14ac:dyDescent="0.3"/>
    <row r="131" s="313" customFormat="1" x14ac:dyDescent="0.3"/>
  </sheetData>
  <phoneticPr fontId="6" type="noConversion"/>
  <conditionalFormatting sqref="C19">
    <cfRule type="expression" dxfId="5" priority="4">
      <formula>$C$19&gt;$G$19</formula>
    </cfRule>
  </conditionalFormatting>
  <conditionalFormatting sqref="C20">
    <cfRule type="expression" dxfId="4" priority="5">
      <formula>$C$20&gt;$G$20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1" r:id="rId4" name="Check Box 3">
              <controlPr defaultSize="0" autoFill="0" autoLine="0" autoPict="0">
                <anchor moveWithCells="1">
                  <from>
                    <xdr:col>2</xdr:col>
                    <xdr:colOff>83820</xdr:colOff>
                    <xdr:row>12</xdr:row>
                    <xdr:rowOff>297180</xdr:rowOff>
                  </from>
                  <to>
                    <xdr:col>2</xdr:col>
                    <xdr:colOff>335280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5" name="Check Box 4">
              <controlPr defaultSize="0" autoFill="0" autoLine="0" autoPict="0">
                <anchor moveWithCells="1">
                  <from>
                    <xdr:col>2</xdr:col>
                    <xdr:colOff>83820</xdr:colOff>
                    <xdr:row>15</xdr:row>
                    <xdr:rowOff>30480</xdr:rowOff>
                  </from>
                  <to>
                    <xdr:col>2</xdr:col>
                    <xdr:colOff>335280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Check Box 6">
              <controlPr defaultSize="0" autoFill="0" autoLine="0" autoPict="0">
                <anchor moveWithCells="1">
                  <from>
                    <xdr:col>3</xdr:col>
                    <xdr:colOff>83820</xdr:colOff>
                    <xdr:row>12</xdr:row>
                    <xdr:rowOff>297180</xdr:rowOff>
                  </from>
                  <to>
                    <xdr:col>3</xdr:col>
                    <xdr:colOff>335280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7" name="Check Box 7">
              <controlPr defaultSize="0" autoFill="0" autoLine="0" autoPict="0">
                <anchor moveWithCells="1">
                  <from>
                    <xdr:col>3</xdr:col>
                    <xdr:colOff>83820</xdr:colOff>
                    <xdr:row>15</xdr:row>
                    <xdr:rowOff>30480</xdr:rowOff>
                  </from>
                  <to>
                    <xdr:col>3</xdr:col>
                    <xdr:colOff>335280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Check Box 9">
              <controlPr defaultSize="0" autoFill="0" autoLine="0" autoPict="0">
                <anchor moveWithCells="1">
                  <from>
                    <xdr:col>4</xdr:col>
                    <xdr:colOff>83820</xdr:colOff>
                    <xdr:row>12</xdr:row>
                    <xdr:rowOff>297180</xdr:rowOff>
                  </from>
                  <to>
                    <xdr:col>4</xdr:col>
                    <xdr:colOff>335280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Check Box 10">
              <controlPr defaultSize="0" autoFill="0" autoLine="0" autoPict="0">
                <anchor moveWithCells="1">
                  <from>
                    <xdr:col>4</xdr:col>
                    <xdr:colOff>83820</xdr:colOff>
                    <xdr:row>15</xdr:row>
                    <xdr:rowOff>30480</xdr:rowOff>
                  </from>
                  <to>
                    <xdr:col>4</xdr:col>
                    <xdr:colOff>335280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0" name="Check Box 11">
              <controlPr defaultSize="0" autoFill="0" autoLine="0" autoPict="0">
                <anchor moveWithCells="1">
                  <from>
                    <xdr:col>6</xdr:col>
                    <xdr:colOff>76200</xdr:colOff>
                    <xdr:row>12</xdr:row>
                    <xdr:rowOff>297180</xdr:rowOff>
                  </from>
                  <to>
                    <xdr:col>6</xdr:col>
                    <xdr:colOff>327660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1" name="Check Box 12">
              <controlPr defaultSize="0" autoFill="0" autoLine="0" autoPict="0">
                <anchor moveWithCells="1">
                  <from>
                    <xdr:col>6</xdr:col>
                    <xdr:colOff>76200</xdr:colOff>
                    <xdr:row>15</xdr:row>
                    <xdr:rowOff>30480</xdr:rowOff>
                  </from>
                  <to>
                    <xdr:col>6</xdr:col>
                    <xdr:colOff>327660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2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297180</xdr:rowOff>
                  </from>
                  <to>
                    <xdr:col>7</xdr:col>
                    <xdr:colOff>327660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3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30480</xdr:rowOff>
                  </from>
                  <to>
                    <xdr:col>7</xdr:col>
                    <xdr:colOff>327660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4" name="Check Box 15">
              <controlPr defaultSize="0" autoFill="0" autoLine="0" autoPict="0">
                <anchor moveWithCells="1">
                  <from>
                    <xdr:col>5</xdr:col>
                    <xdr:colOff>91440</xdr:colOff>
                    <xdr:row>12</xdr:row>
                    <xdr:rowOff>297180</xdr:rowOff>
                  </from>
                  <to>
                    <xdr:col>5</xdr:col>
                    <xdr:colOff>342900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5" name="Check Box 16">
              <controlPr defaultSize="0" autoFill="0" autoLine="0" autoPict="0">
                <anchor moveWithCells="1">
                  <from>
                    <xdr:col>5</xdr:col>
                    <xdr:colOff>91440</xdr:colOff>
                    <xdr:row>15</xdr:row>
                    <xdr:rowOff>30480</xdr:rowOff>
                  </from>
                  <to>
                    <xdr:col>5</xdr:col>
                    <xdr:colOff>342900</xdr:colOff>
                    <xdr:row>15</xdr:row>
                    <xdr:rowOff>281940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8140F639-C87E-461C-B161-0D7A5F318819}">
          <x14:formula1>
            <xm:f>'4.理財目標'!$E$4</xm:f>
          </x14:formula1>
          <xm:sqref>C11</xm:sqref>
        </x14:dataValidation>
        <x14:dataValidation type="list" allowBlank="1" showInputMessage="1" xr:uid="{E07173D4-A624-4436-92F9-F9972E5EDC9B}">
          <x14:formula1>
            <xm:f>'4.理財目標'!$E$5</xm:f>
          </x14:formula1>
          <xm:sqref>D11</xm:sqref>
        </x14:dataValidation>
        <x14:dataValidation type="list" allowBlank="1" showInputMessage="1" xr:uid="{220AD859-05EF-4C30-883A-C03ABDB57A4B}">
          <x14:formula1>
            <xm:f>'4.理財目標'!$E$6</xm:f>
          </x14:formula1>
          <xm:sqref>E11</xm:sqref>
        </x14:dataValidation>
        <x14:dataValidation type="list" allowBlank="1" showInputMessage="1" xr:uid="{E1473987-17A5-43D8-B3E6-E0802E29D604}">
          <x14:formula1>
            <xm:f>'4.理財目標'!$E$7</xm:f>
          </x14:formula1>
          <xm:sqref>F11</xm:sqref>
        </x14:dataValidation>
        <x14:dataValidation type="list" allowBlank="1" showInputMessage="1" xr:uid="{80B03B47-DFF2-4C70-B3E0-DCF1FB9D05E6}">
          <x14:formula1>
            <xm:f>'4.理財目標'!$E$8</xm:f>
          </x14:formula1>
          <xm:sqref>G11</xm:sqref>
        </x14:dataValidation>
        <x14:dataValidation type="list" allowBlank="1" showInputMessage="1" xr:uid="{97D32E71-1693-4146-A7CF-C4E7730969C2}">
          <x14:formula1>
            <xm:f>'4.理財目標'!$E$9</xm:f>
          </x14:formula1>
          <xm:sqref>H11</xm:sqref>
        </x14:dataValidation>
        <x14:dataValidation type="list" allowBlank="1" showInputMessage="1" xr:uid="{E94FE9B7-118F-4862-BD76-76DD413C8C38}">
          <x14:formula1>
            <xm:f>'4.理財目標'!$A$4:$A$9</xm:f>
          </x14:formula1>
          <xm:sqref>C59:C63 G117:G121 E59:E63 E65:E69 G59:G63 G65:G69 C85:C89 C91:C95 C66 E91:E95 G85:G89 G91:G95 C111:C115 C117:C121 E111:E115 E117:E121 G111:G115 C65 C67:C69 E86:E89 E85</xm:sqref>
        </x14:dataValidation>
        <x14:dataValidation type="list" allowBlank="1" showInputMessage="1" xr:uid="{1E250B24-B8B9-4DD4-AE09-E4F784887D18}">
          <x14:formula1>
            <xm:f>'4.理財目標'!$C$4:$D$4</xm:f>
          </x14:formula1>
          <xm:sqref>C5</xm:sqref>
        </x14:dataValidation>
        <x14:dataValidation type="list" allowBlank="1" showInputMessage="1" xr:uid="{F6342BBD-B15F-46C8-A511-7C167B6F33EF}">
          <x14:formula1>
            <xm:f>'4.理財目標'!$C$5:$D$5</xm:f>
          </x14:formula1>
          <xm:sqref>D5</xm:sqref>
        </x14:dataValidation>
        <x14:dataValidation type="list" allowBlank="1" showInputMessage="1" xr:uid="{CA08529A-5678-45E2-BE5B-AEEBC0351D98}">
          <x14:formula1>
            <xm:f>'4.理財目標'!$C$6:$D$6</xm:f>
          </x14:formula1>
          <xm:sqref>E5</xm:sqref>
        </x14:dataValidation>
        <x14:dataValidation type="list" allowBlank="1" showInputMessage="1" xr:uid="{9BD38EBB-D226-4693-94F6-71D71D28F0C2}">
          <x14:formula1>
            <xm:f>'4.理財目標'!$C$7:$D$7</xm:f>
          </x14:formula1>
          <xm:sqref>F5</xm:sqref>
        </x14:dataValidation>
        <x14:dataValidation type="list" allowBlank="1" showInputMessage="1" xr:uid="{CB4F2A3A-0E02-4FB9-AC4E-6AFCC5E4158C}">
          <x14:formula1>
            <xm:f>'4.理財目標'!$C$8:$D$8</xm:f>
          </x14:formula1>
          <xm:sqref>G5</xm:sqref>
        </x14:dataValidation>
        <x14:dataValidation type="list" allowBlank="1" showInputMessage="1" xr:uid="{BD28EF07-9010-4859-898D-ED87DD081645}">
          <x14:formula1>
            <xm:f>'4.理財目標'!$C$9:$D$9</xm:f>
          </x14:formula1>
          <xm:sqref>H5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468F-B680-4AA5-BE0D-6BEBAEA5D535}">
  <dimension ref="A1:U36"/>
  <sheetViews>
    <sheetView showGridLines="0" zoomScale="90" zoomScaleNormal="90" workbookViewId="0">
      <selection activeCell="H11" sqref="H11"/>
    </sheetView>
  </sheetViews>
  <sheetFormatPr defaultRowHeight="15.6" x14ac:dyDescent="0.3"/>
  <cols>
    <col min="1" max="1" width="6.1640625" customWidth="1"/>
    <col min="2" max="2" width="10.4140625" customWidth="1"/>
    <col min="3" max="3" width="10.33203125" customWidth="1"/>
    <col min="4" max="5" width="8.58203125" style="313" customWidth="1"/>
    <col min="6" max="7" width="8.58203125" customWidth="1"/>
    <col min="8" max="8" width="14.5" customWidth="1"/>
    <col min="9" max="9" width="8.75" style="313" customWidth="1"/>
    <col min="10" max="10" width="10.9140625" style="313" customWidth="1"/>
    <col min="11" max="11" width="15" customWidth="1"/>
    <col min="12" max="12" width="6.08203125" customWidth="1"/>
    <col min="13" max="13" width="8.6640625" customWidth="1"/>
    <col min="14" max="15" width="8.9140625" style="313" customWidth="1"/>
    <col min="16" max="16" width="3.58203125" style="332" customWidth="1"/>
    <col min="17" max="17" width="8.9140625" customWidth="1"/>
    <col min="18" max="18" width="8.6640625" style="313" customWidth="1"/>
    <col min="19" max="20" width="8.58203125" customWidth="1"/>
  </cols>
  <sheetData>
    <row r="1" spans="1:20" ht="25.2" customHeight="1" x14ac:dyDescent="0.3">
      <c r="A1" s="395" t="s">
        <v>298</v>
      </c>
    </row>
    <row r="2" spans="1:20" s="313" customFormat="1" ht="25.2" customHeight="1" x14ac:dyDescent="0.5">
      <c r="A2" s="432" t="s">
        <v>292</v>
      </c>
      <c r="B2" s="296">
        <v>5</v>
      </c>
      <c r="G2" s="433" t="s">
        <v>247</v>
      </c>
      <c r="H2" s="434">
        <f>SUM(子女教育1[試算學費])</f>
        <v>1850778.2610395504</v>
      </c>
      <c r="J2" s="625" t="s">
        <v>343</v>
      </c>
      <c r="N2" s="302" t="s">
        <v>292</v>
      </c>
      <c r="O2" s="302" t="s">
        <v>293</v>
      </c>
      <c r="P2" s="332"/>
    </row>
    <row r="3" spans="1:20" ht="30" customHeight="1" x14ac:dyDescent="0.3">
      <c r="A3" t="s">
        <v>230</v>
      </c>
      <c r="B3" t="s">
        <v>231</v>
      </c>
      <c r="C3" s="323" t="s">
        <v>240</v>
      </c>
      <c r="D3" s="302" t="s">
        <v>238</v>
      </c>
      <c r="E3" s="302" t="s">
        <v>239</v>
      </c>
      <c r="F3" s="155" t="s">
        <v>235</v>
      </c>
      <c r="G3" s="302" t="s">
        <v>236</v>
      </c>
      <c r="H3" s="302" t="s">
        <v>237</v>
      </c>
      <c r="I3" s="302"/>
      <c r="J3" s="427" t="s">
        <v>243</v>
      </c>
      <c r="K3" s="428" t="s">
        <v>244</v>
      </c>
      <c r="M3" t="s">
        <v>243</v>
      </c>
      <c r="N3" s="313" t="s">
        <v>295</v>
      </c>
      <c r="O3" s="313" t="s">
        <v>294</v>
      </c>
      <c r="Q3" t="s">
        <v>232</v>
      </c>
      <c r="R3" s="313" t="s">
        <v>243</v>
      </c>
      <c r="S3" t="s">
        <v>296</v>
      </c>
      <c r="T3" t="s">
        <v>297</v>
      </c>
    </row>
    <row r="4" spans="1:20" ht="18" customHeight="1" x14ac:dyDescent="0.3">
      <c r="A4" t="s">
        <v>62</v>
      </c>
      <c r="B4" t="s">
        <v>246</v>
      </c>
      <c r="C4" s="317">
        <v>15000</v>
      </c>
      <c r="D4" s="322">
        <v>2</v>
      </c>
      <c r="E4" s="461">
        <f>VLOOKUP(子女教育1[[#This Row],[教育學程]],就讀時間[[學程]:[就讀時間1]],2,FALSE)</f>
        <v>1</v>
      </c>
      <c r="F4" s="656">
        <f>VLOOKUP(子女教育1[[#This Row],[教育學程]],距離時間[[學程]:[距離時間1]],2,FALSE)</f>
        <v>0</v>
      </c>
      <c r="G4" s="318">
        <v>0.02</v>
      </c>
      <c r="H4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30000.000000000025</v>
      </c>
      <c r="J4" s="326" t="s">
        <v>242</v>
      </c>
      <c r="K4" s="327">
        <v>3000</v>
      </c>
      <c r="M4" s="330" t="s">
        <v>242</v>
      </c>
      <c r="N4" s="337">
        <f xml:space="preserve">
IF($B$2&lt;3,3,
IF($B$2&gt;6,0,6-$B$2))</f>
        <v>1</v>
      </c>
      <c r="O4" s="337">
        <f xml:space="preserve">
IF($B$18&lt;3,3,
IF($B$18&gt;6,0,6-$B$18))</f>
        <v>3</v>
      </c>
      <c r="P4" s="333"/>
      <c r="Q4" s="429">
        <v>3</v>
      </c>
      <c r="R4" s="40" t="s">
        <v>242</v>
      </c>
      <c r="S4" s="334">
        <f>IF($B$2&lt;3,3-$B$2,0)</f>
        <v>0</v>
      </c>
      <c r="T4" s="334">
        <f>IF($B$18&lt;3,3-$B$18,0)</f>
        <v>1</v>
      </c>
    </row>
    <row r="5" spans="1:20" ht="18" customHeight="1" x14ac:dyDescent="0.3">
      <c r="A5" t="s">
        <v>241</v>
      </c>
      <c r="B5" t="s">
        <v>233</v>
      </c>
      <c r="C5" s="317">
        <v>25000</v>
      </c>
      <c r="D5" s="322">
        <v>2</v>
      </c>
      <c r="E5" s="461">
        <f>VLOOKUP(子女教育1[[#This Row],[教育學程]],就讀時間[[學程]:[就讀時間1]],2,FALSE)</f>
        <v>6</v>
      </c>
      <c r="F5" s="656">
        <f>VLOOKUP(子女教育1[[#This Row],[教育學程]],距離時間[[學程]:[距離時間1]],2,FALSE)</f>
        <v>1</v>
      </c>
      <c r="G5" s="318">
        <v>0.02</v>
      </c>
      <c r="H5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321714.16912320018</v>
      </c>
      <c r="J5" s="314"/>
      <c r="K5" s="315">
        <v>15000</v>
      </c>
      <c r="M5" s="290" t="s">
        <v>57</v>
      </c>
      <c r="N5" s="338">
        <f xml:space="preserve">
IF($B$2&lt;6,6,
IF($B$2&gt;12,0,12-$B$2))</f>
        <v>6</v>
      </c>
      <c r="O5" s="338">
        <f xml:space="preserve">
IF($B$18&lt;6,6,
IF($B$18&gt;12,0,12-$B$18))</f>
        <v>6</v>
      </c>
      <c r="P5" s="333"/>
      <c r="Q5" s="430">
        <v>4</v>
      </c>
      <c r="R5" s="290" t="s">
        <v>242</v>
      </c>
      <c r="S5" s="335">
        <f>IF($B$2&lt;3,3-$B$2,0)</f>
        <v>0</v>
      </c>
      <c r="T5" s="334">
        <f>IF($B$18&lt;3,3-$B$18,0)</f>
        <v>1</v>
      </c>
    </row>
    <row r="6" spans="1:20" ht="18" customHeight="1" x14ac:dyDescent="0.3">
      <c r="A6" t="s">
        <v>62</v>
      </c>
      <c r="B6" t="s">
        <v>234</v>
      </c>
      <c r="C6" s="317">
        <v>1500</v>
      </c>
      <c r="D6" s="322">
        <v>2</v>
      </c>
      <c r="E6" s="461">
        <f>VLOOKUP(子女教育1[[#This Row],[教育學程]],就讀時間[[學程]:[就讀時間1]],2,FALSE)</f>
        <v>3</v>
      </c>
      <c r="F6" s="656">
        <f>VLOOKUP(子女教育1[[#This Row],[教育學程]],距離時間[[學程]:[距離時間1]],2,FALSE)</f>
        <v>7</v>
      </c>
      <c r="G6" s="318">
        <v>0.02</v>
      </c>
      <c r="H6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10546.312851821556</v>
      </c>
      <c r="J6" s="328" t="s">
        <v>61</v>
      </c>
      <c r="K6" s="652">
        <v>8000</v>
      </c>
      <c r="M6" s="331" t="s">
        <v>58</v>
      </c>
      <c r="N6" s="339">
        <f xml:space="preserve">
IF($B$2&lt;12,3,
IF($B$2&gt;15,0,15-$B$2))</f>
        <v>3</v>
      </c>
      <c r="O6" s="339">
        <f xml:space="preserve">
IF($B$18&lt;12,3,
IF($B$18&gt;15,0,15-$B$18))</f>
        <v>3</v>
      </c>
      <c r="P6" s="333"/>
      <c r="Q6" s="430">
        <v>5</v>
      </c>
      <c r="R6" s="290" t="s">
        <v>242</v>
      </c>
      <c r="S6" s="335">
        <f>IF($B$2&lt;3,3-$B$2,0)</f>
        <v>0</v>
      </c>
      <c r="T6" s="334">
        <f>IF($B$18&lt;3,3-$B$18,0)</f>
        <v>1</v>
      </c>
    </row>
    <row r="7" spans="1:20" ht="18" customHeight="1" x14ac:dyDescent="0.3">
      <c r="A7" t="s">
        <v>62</v>
      </c>
      <c r="B7" t="s">
        <v>59</v>
      </c>
      <c r="C7" s="317">
        <v>12500</v>
      </c>
      <c r="D7" s="322">
        <v>2</v>
      </c>
      <c r="E7" s="461">
        <f>VLOOKUP(子女教育1[[#This Row],[教育學程]],就讀時間[[學程]:[就讀時間1]],2,FALSE)</f>
        <v>3</v>
      </c>
      <c r="F7" s="656">
        <f>VLOOKUP(子女教育1[[#This Row],[教育學程]],距離時間[[學程]:[距離時間1]],2,FALSE)</f>
        <v>10</v>
      </c>
      <c r="G7" s="318">
        <v>0.02</v>
      </c>
      <c r="H7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93265.263073798749</v>
      </c>
      <c r="J7" s="314"/>
      <c r="K7" s="653">
        <v>12000</v>
      </c>
      <c r="M7" s="290" t="s">
        <v>60</v>
      </c>
      <c r="N7" s="338">
        <f xml:space="preserve">
IF($B$2&lt;15,3,
IF($B$2&gt;18,0,18-$B$2))</f>
        <v>3</v>
      </c>
      <c r="O7" s="338">
        <f xml:space="preserve">
IF($B$18&lt;15,3,
IF($B$18&gt;18,0,18-$B$18))</f>
        <v>3</v>
      </c>
      <c r="P7" s="333"/>
      <c r="Q7" s="430">
        <v>6</v>
      </c>
      <c r="R7" s="290" t="s">
        <v>57</v>
      </c>
      <c r="S7" s="335">
        <f t="shared" ref="S7:S13" si="0">IF($B$2&lt;6,6-$B$2,0)</f>
        <v>1</v>
      </c>
      <c r="T7" s="334">
        <f t="shared" ref="T7:T13" si="1">IF($B$18&lt;6,6-$B$18,0)</f>
        <v>4</v>
      </c>
    </row>
    <row r="8" spans="1:20" ht="18" customHeight="1" x14ac:dyDescent="0.3">
      <c r="A8" t="s">
        <v>241</v>
      </c>
      <c r="B8" t="s">
        <v>225</v>
      </c>
      <c r="C8" s="317">
        <v>100000</v>
      </c>
      <c r="D8" s="324">
        <v>2</v>
      </c>
      <c r="E8" s="461">
        <f>VLOOKUP(子女教育1[[#This Row],[教育學程]],就讀時間[[學程]:[就讀時間1]],2,FALSE)</f>
        <v>4</v>
      </c>
      <c r="F8" s="656">
        <f>VLOOKUP(子女教育1[[#This Row],[教育學程]],距離時間[[學程]:[距離時間1]],2,FALSE)</f>
        <v>13</v>
      </c>
      <c r="G8" s="318">
        <v>0.02</v>
      </c>
      <c r="H8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1066347.8873862815</v>
      </c>
      <c r="J8" s="328" t="s">
        <v>57</v>
      </c>
      <c r="K8" s="329">
        <v>1500</v>
      </c>
      <c r="M8" s="331" t="s">
        <v>226</v>
      </c>
      <c r="N8" s="339">
        <f xml:space="preserve">
IF($B$2&lt;18,4,
IF($B$2&gt;22,0,22-$B$2))</f>
        <v>4</v>
      </c>
      <c r="O8" s="339">
        <f xml:space="preserve">
IF($B$18&lt;18,4,
IF($B$18&gt;22,0,22-$B$18))</f>
        <v>4</v>
      </c>
      <c r="P8" s="333"/>
      <c r="Q8" s="430">
        <v>7</v>
      </c>
      <c r="R8" s="290" t="s">
        <v>57</v>
      </c>
      <c r="S8" s="335">
        <f t="shared" si="0"/>
        <v>1</v>
      </c>
      <c r="T8" s="334">
        <f t="shared" si="1"/>
        <v>4</v>
      </c>
    </row>
    <row r="9" spans="1:20" ht="18" customHeight="1" x14ac:dyDescent="0.3">
      <c r="A9" t="s">
        <v>62</v>
      </c>
      <c r="B9" t="s">
        <v>311</v>
      </c>
      <c r="C9" s="317">
        <v>35000</v>
      </c>
      <c r="D9" s="324">
        <v>2</v>
      </c>
      <c r="E9" s="461">
        <f>VLOOKUP(子女教育1[[#This Row],[教育學程]],就讀時間[[學程]:[就讀時間1]],2,FALSE)</f>
        <v>2</v>
      </c>
      <c r="F9" s="656">
        <f>VLOOKUP(子女教育1[[#This Row],[教育學程]],距離時間[[學程]:[距離時間1]],2,FALSE)</f>
        <v>17</v>
      </c>
      <c r="G9" s="318">
        <v>0.05</v>
      </c>
      <c r="H9" s="317">
        <f xml:space="preserve">
IF(子女教育1[[#This Row],[就讀時間]]=0,0,
FV(子女教育1[[#This Row],[CPI]],子女教育1[[#This Row],[就讀時間]],FV(子女教育1[[#This Row],[CPI]],子女教育1[[#This Row],[距離時間]],,子女教育1[[#This Row],[費用
月/學期/年]]*2)))</f>
        <v>328904.62860444834</v>
      </c>
      <c r="J9" s="314"/>
      <c r="K9" s="315">
        <v>25000</v>
      </c>
      <c r="M9" s="290" t="s">
        <v>227</v>
      </c>
      <c r="N9" s="338">
        <f xml:space="preserve">
IF($B$2&lt;18,4,
IF($B$2&gt;22,0,22-$B$2))</f>
        <v>4</v>
      </c>
      <c r="O9" s="338">
        <f xml:space="preserve">
IF($B$18&lt;18,4,
IF($B$18&gt;22,0,22-$B$18))</f>
        <v>4</v>
      </c>
      <c r="P9" s="333"/>
      <c r="Q9" s="430">
        <v>8</v>
      </c>
      <c r="R9" s="290" t="s">
        <v>57</v>
      </c>
      <c r="S9" s="335">
        <f t="shared" si="0"/>
        <v>1</v>
      </c>
      <c r="T9" s="334">
        <f t="shared" si="1"/>
        <v>4</v>
      </c>
    </row>
    <row r="10" spans="1:20" ht="18" customHeight="1" x14ac:dyDescent="0.3">
      <c r="C10" s="317"/>
      <c r="D10" s="324"/>
      <c r="E10" s="461"/>
      <c r="F10" s="462"/>
      <c r="G10" s="517"/>
      <c r="H10" s="317"/>
      <c r="J10" s="328" t="s">
        <v>58</v>
      </c>
      <c r="K10" s="329">
        <v>1500</v>
      </c>
      <c r="M10" s="331" t="s">
        <v>228</v>
      </c>
      <c r="N10" s="339">
        <f xml:space="preserve">
IF($B$2&lt;22,2,
IF($B$2&gt;24,0,22-$B$2))</f>
        <v>2</v>
      </c>
      <c r="O10" s="339">
        <f xml:space="preserve">
IF($B$18&lt;22,2,
IF($B$18&gt;24,0,22-$B$18))</f>
        <v>2</v>
      </c>
      <c r="P10" s="333"/>
      <c r="Q10" s="430">
        <v>9</v>
      </c>
      <c r="R10" s="290" t="s">
        <v>57</v>
      </c>
      <c r="S10" s="335">
        <f t="shared" si="0"/>
        <v>1</v>
      </c>
      <c r="T10" s="334">
        <f t="shared" si="1"/>
        <v>4</v>
      </c>
    </row>
    <row r="11" spans="1:20" ht="18" customHeight="1" x14ac:dyDescent="0.3">
      <c r="C11" s="317"/>
      <c r="D11" s="324"/>
      <c r="E11" s="461"/>
      <c r="F11" s="656"/>
      <c r="G11" s="318"/>
      <c r="H11" s="317"/>
      <c r="J11" s="314"/>
      <c r="K11" s="315">
        <v>12500</v>
      </c>
      <c r="M11" s="41" t="s">
        <v>229</v>
      </c>
      <c r="N11" s="340">
        <f xml:space="preserve">
IF($B$2&lt;22,2,
IF($B$2&gt;24,0,22-$B$2))</f>
        <v>2</v>
      </c>
      <c r="O11" s="340">
        <f xml:space="preserve">
IF($B$18&lt;22,2,
IF($B$18&gt;24,0,22-$B$18))</f>
        <v>2</v>
      </c>
      <c r="P11" s="333"/>
      <c r="Q11" s="430">
        <v>10</v>
      </c>
      <c r="R11" s="290" t="s">
        <v>57</v>
      </c>
      <c r="S11" s="335">
        <f t="shared" si="0"/>
        <v>1</v>
      </c>
      <c r="T11" s="334">
        <f t="shared" si="1"/>
        <v>4</v>
      </c>
    </row>
    <row r="12" spans="1:20" ht="18" customHeight="1" x14ac:dyDescent="0.3">
      <c r="C12" s="317"/>
      <c r="D12" s="324"/>
      <c r="E12" s="461"/>
      <c r="F12" s="656"/>
      <c r="G12" s="318"/>
      <c r="H12" s="655"/>
      <c r="J12" s="328" t="s">
        <v>60</v>
      </c>
      <c r="K12" s="329">
        <v>6000</v>
      </c>
      <c r="Q12" s="430">
        <v>11</v>
      </c>
      <c r="R12" s="290" t="s">
        <v>57</v>
      </c>
      <c r="S12" s="335">
        <f t="shared" si="0"/>
        <v>1</v>
      </c>
      <c r="T12" s="334">
        <f t="shared" si="1"/>
        <v>4</v>
      </c>
    </row>
    <row r="13" spans="1:20" ht="18" customHeight="1" x14ac:dyDescent="0.3">
      <c r="C13" s="317"/>
      <c r="D13" s="324"/>
      <c r="E13" s="461"/>
      <c r="F13" s="656"/>
      <c r="G13" s="318"/>
      <c r="H13" s="317"/>
      <c r="J13" s="314"/>
      <c r="K13" s="315">
        <v>35000</v>
      </c>
      <c r="M13" s="625" t="s">
        <v>344</v>
      </c>
      <c r="Q13" s="430">
        <v>12</v>
      </c>
      <c r="R13" s="290" t="s">
        <v>57</v>
      </c>
      <c r="S13" s="335">
        <f t="shared" si="0"/>
        <v>1</v>
      </c>
      <c r="T13" s="334">
        <f t="shared" si="1"/>
        <v>4</v>
      </c>
    </row>
    <row r="14" spans="1:20" s="313" customFormat="1" ht="18" customHeight="1" x14ac:dyDescent="0.3">
      <c r="C14" s="317"/>
      <c r="D14" s="324"/>
      <c r="E14" s="461"/>
      <c r="F14" s="656"/>
      <c r="G14" s="318"/>
      <c r="H14" s="317"/>
      <c r="J14" s="325"/>
      <c r="K14" s="654"/>
      <c r="M14" s="625" t="s">
        <v>345</v>
      </c>
      <c r="P14" s="332"/>
      <c r="Q14" s="430">
        <v>13</v>
      </c>
      <c r="R14" s="290" t="s">
        <v>58</v>
      </c>
      <c r="S14" s="335">
        <f>IF($B$2&lt;12,12-$B$2,0)</f>
        <v>7</v>
      </c>
      <c r="T14" s="334">
        <f>IF($B$18&lt;12,12-$B$18,0)</f>
        <v>10</v>
      </c>
    </row>
    <row r="15" spans="1:20" s="313" customFormat="1" ht="18" customHeight="1" x14ac:dyDescent="0.3">
      <c r="F15" s="421"/>
      <c r="G15" s="642"/>
      <c r="H15" s="152"/>
      <c r="J15" s="325"/>
      <c r="K15" s="654"/>
      <c r="M15" s="625"/>
      <c r="P15" s="332"/>
      <c r="Q15" s="430">
        <v>14</v>
      </c>
      <c r="R15" s="290" t="s">
        <v>58</v>
      </c>
      <c r="S15" s="335">
        <f>IF($B$2&lt;12,12-$B$2,0)</f>
        <v>7</v>
      </c>
      <c r="T15" s="334">
        <f>IF($B$18&lt;12,12-$B$18,0)</f>
        <v>10</v>
      </c>
    </row>
    <row r="16" spans="1:20" s="313" customFormat="1" ht="18" customHeight="1" x14ac:dyDescent="0.3">
      <c r="F16" s="421"/>
      <c r="G16" s="642"/>
      <c r="H16" s="152"/>
      <c r="J16" s="325"/>
      <c r="K16" s="654"/>
      <c r="M16" s="625"/>
      <c r="P16" s="332"/>
      <c r="Q16" s="430">
        <v>15</v>
      </c>
      <c r="R16" s="290" t="s">
        <v>58</v>
      </c>
      <c r="S16" s="335">
        <f>IF($B$2&lt;12,12-$B$2,0)</f>
        <v>7</v>
      </c>
      <c r="T16" s="334">
        <f>IF($B$18&lt;12,12-$B$18,0)</f>
        <v>10</v>
      </c>
    </row>
    <row r="17" spans="1:21" s="313" customFormat="1" ht="18" customHeight="1" x14ac:dyDescent="0.3">
      <c r="F17" s="421"/>
      <c r="G17" s="421"/>
      <c r="H17" s="152"/>
      <c r="J17" s="325"/>
      <c r="K17" s="654"/>
      <c r="M17" s="625"/>
      <c r="P17" s="332"/>
      <c r="Q17" s="430">
        <v>16</v>
      </c>
      <c r="R17" s="290" t="s">
        <v>60</v>
      </c>
      <c r="S17" s="335">
        <f>IF($B$2&lt;15,15-$B$2,0)</f>
        <v>10</v>
      </c>
      <c r="T17" s="334">
        <f>IF($B$18&lt;15,15-$B$18,0)</f>
        <v>13</v>
      </c>
    </row>
    <row r="18" spans="1:21" ht="18" customHeight="1" x14ac:dyDescent="0.5">
      <c r="A18" s="432" t="s">
        <v>293</v>
      </c>
      <c r="B18" s="296">
        <v>2</v>
      </c>
      <c r="F18" s="421"/>
      <c r="G18" s="433" t="s">
        <v>247</v>
      </c>
      <c r="H18" s="434">
        <f>SUM(子女教育2[試算學費])</f>
        <v>1535133.7857963864</v>
      </c>
      <c r="Q18" s="430">
        <v>17</v>
      </c>
      <c r="R18" s="290" t="s">
        <v>60</v>
      </c>
      <c r="S18" s="335">
        <f>IF($B$2&lt;15,15-$B$2,0)</f>
        <v>10</v>
      </c>
      <c r="T18" s="334">
        <f>IF($B$18&lt;15,15-$B$18,0)</f>
        <v>13</v>
      </c>
    </row>
    <row r="19" spans="1:21" ht="31.2" x14ac:dyDescent="0.3">
      <c r="A19" s="313" t="s">
        <v>230</v>
      </c>
      <c r="B19" s="313" t="s">
        <v>231</v>
      </c>
      <c r="C19" s="323" t="s">
        <v>240</v>
      </c>
      <c r="D19" s="302" t="s">
        <v>238</v>
      </c>
      <c r="E19" s="302" t="s">
        <v>239</v>
      </c>
      <c r="F19" s="155" t="s">
        <v>235</v>
      </c>
      <c r="G19" s="302" t="s">
        <v>236</v>
      </c>
      <c r="H19" s="302" t="s">
        <v>237</v>
      </c>
      <c r="J19" s="427" t="s">
        <v>243</v>
      </c>
      <c r="K19" s="428" t="s">
        <v>244</v>
      </c>
      <c r="M19" s="313"/>
      <c r="Q19" s="430">
        <v>18</v>
      </c>
      <c r="R19" s="290" t="s">
        <v>60</v>
      </c>
      <c r="S19" s="335">
        <f>IF($B$2&lt;15,15-$B$2,0)</f>
        <v>10</v>
      </c>
      <c r="T19" s="334">
        <f>IF($B$18&lt;15,15-$B$18,0)</f>
        <v>13</v>
      </c>
    </row>
    <row r="20" spans="1:21" ht="18" customHeight="1" x14ac:dyDescent="0.3">
      <c r="A20" s="313" t="s">
        <v>62</v>
      </c>
      <c r="B20" s="313" t="s">
        <v>246</v>
      </c>
      <c r="C20" s="317">
        <v>3000</v>
      </c>
      <c r="D20" s="322">
        <v>2</v>
      </c>
      <c r="E20" s="461">
        <f>VLOOKUP(子女教育2[[#This Row],[教育學程]],就讀時間[],3,FALSE)</f>
        <v>3</v>
      </c>
      <c r="F20" s="462">
        <f>VLOOKUP(子女教育2[[#This Row],[教育學程]],距離時間[[學程]:[距離時間2]],3,FALSE)</f>
        <v>1</v>
      </c>
      <c r="G20" s="318">
        <v>0.02</v>
      </c>
      <c r="H20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18729.647999999979</v>
      </c>
      <c r="J20" s="328" t="s">
        <v>226</v>
      </c>
      <c r="K20" s="329">
        <v>30000</v>
      </c>
      <c r="M20" s="313"/>
      <c r="Q20" s="430">
        <v>19</v>
      </c>
      <c r="R20" s="290" t="s">
        <v>226</v>
      </c>
      <c r="S20" s="335">
        <f t="shared" ref="S20:S27" si="2">IF($B$2&lt;18,18-$B$2,0)</f>
        <v>13</v>
      </c>
      <c r="T20" s="334">
        <f t="shared" ref="T20:T27" si="3">IF($B$18&lt;18,18-$B$18,0)</f>
        <v>16</v>
      </c>
    </row>
    <row r="21" spans="1:21" x14ac:dyDescent="0.3">
      <c r="A21" s="313" t="s">
        <v>241</v>
      </c>
      <c r="B21" s="313" t="s">
        <v>233</v>
      </c>
      <c r="C21" s="317">
        <v>25000</v>
      </c>
      <c r="D21" s="322">
        <v>2</v>
      </c>
      <c r="E21" s="461">
        <f>VLOOKUP(子女教育2[[#This Row],[教育學程]],就讀時間[],3,FALSE)</f>
        <v>6</v>
      </c>
      <c r="F21" s="462">
        <f>VLOOKUP(子女教育2[[#This Row],[教育學程]],距離時間[[學程]:[距離時間2]],3,FALSE)</f>
        <v>4</v>
      </c>
      <c r="G21" s="318">
        <v>0.02</v>
      </c>
      <c r="H21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341405.649986893</v>
      </c>
      <c r="J21" s="314"/>
      <c r="K21" s="315">
        <v>65000</v>
      </c>
      <c r="M21" s="313"/>
      <c r="Q21" s="430">
        <v>20</v>
      </c>
      <c r="R21" s="290" t="s">
        <v>226</v>
      </c>
      <c r="S21" s="335">
        <f t="shared" si="2"/>
        <v>13</v>
      </c>
      <c r="T21" s="334">
        <f t="shared" si="3"/>
        <v>16</v>
      </c>
    </row>
    <row r="22" spans="1:21" x14ac:dyDescent="0.3">
      <c r="A22" s="313" t="s">
        <v>62</v>
      </c>
      <c r="B22" s="313" t="s">
        <v>234</v>
      </c>
      <c r="C22" s="317">
        <v>1500</v>
      </c>
      <c r="D22" s="322">
        <v>2</v>
      </c>
      <c r="E22" s="461">
        <f>VLOOKUP(子女教育2[[#This Row],[教育學程]],就讀時間[],3,FALSE)</f>
        <v>3</v>
      </c>
      <c r="F22" s="462">
        <f>VLOOKUP(子女教育2[[#This Row],[教育學程]],距離時間[[學程]:[距離時間2]],3,FALSE)</f>
        <v>10</v>
      </c>
      <c r="G22" s="318">
        <v>0.02</v>
      </c>
      <c r="H22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11191.83156885585</v>
      </c>
      <c r="J22" s="328" t="s">
        <v>227</v>
      </c>
      <c r="K22" s="329">
        <v>1500000</v>
      </c>
      <c r="M22" s="313"/>
      <c r="Q22" s="430">
        <v>21</v>
      </c>
      <c r="R22" s="290" t="s">
        <v>226</v>
      </c>
      <c r="S22" s="335">
        <f t="shared" si="2"/>
        <v>13</v>
      </c>
      <c r="T22" s="334">
        <f t="shared" si="3"/>
        <v>16</v>
      </c>
    </row>
    <row r="23" spans="1:21" ht="17.399999999999999" customHeight="1" x14ac:dyDescent="0.3">
      <c r="A23" s="313" t="s">
        <v>62</v>
      </c>
      <c r="B23" s="313" t="s">
        <v>59</v>
      </c>
      <c r="C23" s="317">
        <v>6000</v>
      </c>
      <c r="D23" s="322">
        <v>2</v>
      </c>
      <c r="E23" s="461">
        <f>VLOOKUP(子女教育2[[#This Row],[教育學程]],就讀時間[],3,FALSE)</f>
        <v>3</v>
      </c>
      <c r="F23" s="462">
        <f>VLOOKUP(子女教育2[[#This Row],[教育學程]],距離時間[[學程]:[距離時間2]],3,FALSE)</f>
        <v>13</v>
      </c>
      <c r="G23" s="318">
        <v>0.02</v>
      </c>
      <c r="H23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47507.444782089515</v>
      </c>
      <c r="J23" s="314"/>
      <c r="K23" s="315">
        <v>2000000</v>
      </c>
      <c r="M23" s="313"/>
      <c r="Q23" s="430">
        <v>22</v>
      </c>
      <c r="R23" s="290" t="s">
        <v>226</v>
      </c>
      <c r="S23" s="335">
        <f t="shared" si="2"/>
        <v>13</v>
      </c>
      <c r="T23" s="334">
        <f t="shared" si="3"/>
        <v>16</v>
      </c>
    </row>
    <row r="24" spans="1:21" ht="18" customHeight="1" x14ac:dyDescent="0.3">
      <c r="A24" s="313" t="s">
        <v>241</v>
      </c>
      <c r="B24" s="313" t="s">
        <v>225</v>
      </c>
      <c r="C24" s="317">
        <v>65000</v>
      </c>
      <c r="D24" s="324">
        <v>2</v>
      </c>
      <c r="E24" s="461">
        <f>VLOOKUP(子女教育2[[#This Row],[教育學程]],就讀時間[],3,FALSE)</f>
        <v>4</v>
      </c>
      <c r="F24" s="462">
        <f>VLOOKUP(子女教育2[[#This Row],[教育學程]],距離時間[[學程]:[距離時間2]],3,FALSE)</f>
        <v>16</v>
      </c>
      <c r="G24" s="318">
        <v>0.02</v>
      </c>
      <c r="H24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735550.99077032367</v>
      </c>
      <c r="J24" s="328" t="s">
        <v>228</v>
      </c>
      <c r="K24" s="329">
        <v>35000</v>
      </c>
      <c r="M24" s="313"/>
      <c r="Q24" s="430">
        <v>19</v>
      </c>
      <c r="R24" s="290" t="s">
        <v>227</v>
      </c>
      <c r="S24" s="335">
        <f t="shared" si="2"/>
        <v>13</v>
      </c>
      <c r="T24" s="334">
        <f t="shared" si="3"/>
        <v>16</v>
      </c>
    </row>
    <row r="25" spans="1:21" ht="18" customHeight="1" x14ac:dyDescent="0.3">
      <c r="A25" t="s">
        <v>62</v>
      </c>
      <c r="B25" t="s">
        <v>311</v>
      </c>
      <c r="C25" s="317">
        <v>35000</v>
      </c>
      <c r="D25" s="324">
        <v>2</v>
      </c>
      <c r="E25" s="461">
        <f>VLOOKUP(子女教育2[[#This Row],[教育學程]],就讀時間[],3,FALSE)</f>
        <v>2</v>
      </c>
      <c r="F25" s="462">
        <f>VLOOKUP(子女教育2[[#This Row],[教育學程]],距離時間[[學程]:[距離時間2]],3,FALSE)</f>
        <v>20</v>
      </c>
      <c r="G25" s="318">
        <v>0.05</v>
      </c>
      <c r="H25" s="317">
        <f xml:space="preserve">
IF(子女教育2[[#This Row],[就讀時間]]=0,0,
FV(子女教育2[[#This Row],[CPI]],子女教育2[[#This Row],[就讀時間]],FV(子女教育2[[#This Row],[CPI]],子女教育2[[#This Row],[距離時間]],,子女教育2[[#This Row],[費用
月/學期/年]]*2)))</f>
        <v>380748.22068822454</v>
      </c>
      <c r="J25" s="40"/>
      <c r="K25" s="315">
        <v>50000</v>
      </c>
      <c r="M25" s="313"/>
      <c r="Q25" s="430">
        <v>20</v>
      </c>
      <c r="R25" s="290" t="s">
        <v>227</v>
      </c>
      <c r="S25" s="335">
        <f t="shared" si="2"/>
        <v>13</v>
      </c>
      <c r="T25" s="334">
        <f t="shared" si="3"/>
        <v>16</v>
      </c>
    </row>
    <row r="26" spans="1:21" ht="18" customHeight="1" x14ac:dyDescent="0.3">
      <c r="C26" s="317"/>
      <c r="D26" s="324"/>
      <c r="E26" s="461"/>
      <c r="F26" s="462"/>
      <c r="G26" s="318"/>
      <c r="H26" s="317"/>
      <c r="J26" s="328" t="s">
        <v>229</v>
      </c>
      <c r="K26" s="329">
        <v>1800000</v>
      </c>
      <c r="M26" s="313"/>
      <c r="Q26" s="430">
        <v>21</v>
      </c>
      <c r="R26" s="290" t="s">
        <v>227</v>
      </c>
      <c r="S26" s="335">
        <f t="shared" si="2"/>
        <v>13</v>
      </c>
      <c r="T26" s="334">
        <f t="shared" si="3"/>
        <v>16</v>
      </c>
    </row>
    <row r="27" spans="1:21" ht="18" customHeight="1" x14ac:dyDescent="0.3">
      <c r="C27" s="317"/>
      <c r="D27" s="324"/>
      <c r="E27" s="461"/>
      <c r="F27" s="462"/>
      <c r="G27" s="318"/>
      <c r="H27" s="317"/>
      <c r="J27" s="325"/>
      <c r="K27" s="316">
        <v>2500000</v>
      </c>
      <c r="M27" s="313"/>
      <c r="Q27" s="430">
        <v>22</v>
      </c>
      <c r="R27" s="290" t="s">
        <v>227</v>
      </c>
      <c r="S27" s="335">
        <f t="shared" si="2"/>
        <v>13</v>
      </c>
      <c r="T27" s="334">
        <f t="shared" si="3"/>
        <v>16</v>
      </c>
    </row>
    <row r="28" spans="1:21" ht="18" customHeight="1" x14ac:dyDescent="0.3">
      <c r="C28" s="317"/>
      <c r="D28" s="324"/>
      <c r="E28" s="461"/>
      <c r="F28" s="462"/>
      <c r="G28" s="318"/>
      <c r="H28" s="317"/>
      <c r="M28" s="313"/>
      <c r="Q28" s="430">
        <v>23</v>
      </c>
      <c r="R28" s="290" t="s">
        <v>228</v>
      </c>
      <c r="S28" s="335">
        <f>IF($B$2&lt;22,22-$B$2,0)</f>
        <v>17</v>
      </c>
      <c r="T28" s="334">
        <f>IF($B$18&lt;22,22-$B$18,0)</f>
        <v>20</v>
      </c>
    </row>
    <row r="29" spans="1:21" ht="18" customHeight="1" x14ac:dyDescent="0.3">
      <c r="C29" s="317"/>
      <c r="D29" s="324"/>
      <c r="E29" s="461"/>
      <c r="F29" s="462"/>
      <c r="G29" s="318"/>
      <c r="H29" s="317"/>
      <c r="M29" s="313"/>
      <c r="Q29" s="430">
        <v>24</v>
      </c>
      <c r="R29" s="290" t="s">
        <v>228</v>
      </c>
      <c r="S29" s="335">
        <f>IF($B$2&lt;22,22-$B$2,0)</f>
        <v>17</v>
      </c>
      <c r="T29" s="334">
        <f>IF($B$18&lt;22,22-$B$18,0)</f>
        <v>20</v>
      </c>
    </row>
    <row r="30" spans="1:21" ht="18" customHeight="1" x14ac:dyDescent="0.3">
      <c r="C30" s="317"/>
      <c r="D30" s="324"/>
      <c r="E30" s="461"/>
      <c r="F30" s="462"/>
      <c r="G30" s="318"/>
      <c r="H30" s="317"/>
      <c r="M30" s="313"/>
      <c r="Q30" s="430">
        <v>23</v>
      </c>
      <c r="R30" s="290" t="s">
        <v>229</v>
      </c>
      <c r="S30" s="335">
        <f>IF($B$2&lt;22,22-$B$2,0)</f>
        <v>17</v>
      </c>
      <c r="T30" s="334">
        <f>IF($B$18&lt;22,22-$B$18,0)</f>
        <v>20</v>
      </c>
    </row>
    <row r="31" spans="1:21" ht="18" customHeight="1" x14ac:dyDescent="0.3">
      <c r="C31" s="317"/>
      <c r="D31" s="324"/>
      <c r="E31" s="461"/>
      <c r="F31" s="462"/>
      <c r="G31" s="318"/>
      <c r="H31" s="317"/>
      <c r="Q31" s="431">
        <v>24</v>
      </c>
      <c r="R31" s="41" t="s">
        <v>229</v>
      </c>
      <c r="S31" s="336">
        <f>IF($B$2&lt;22,22-$B$2,0)</f>
        <v>17</v>
      </c>
      <c r="T31" s="334">
        <f>IF($B$18&lt;22,22-$B$18,0)</f>
        <v>20</v>
      </c>
    </row>
    <row r="32" spans="1:21" x14ac:dyDescent="0.3">
      <c r="Q32" s="332"/>
      <c r="R32" s="332"/>
      <c r="S32" s="332"/>
      <c r="T32" s="332"/>
      <c r="U32" s="332"/>
    </row>
    <row r="33" spans="17:21" x14ac:dyDescent="0.3">
      <c r="Q33" s="332"/>
      <c r="R33" s="332"/>
      <c r="S33" s="332"/>
      <c r="T33" s="332"/>
      <c r="U33" s="332"/>
    </row>
    <row r="34" spans="17:21" x14ac:dyDescent="0.3">
      <c r="Q34" s="332"/>
      <c r="R34" s="332"/>
      <c r="S34" s="332"/>
      <c r="T34" s="332"/>
      <c r="U34" s="332"/>
    </row>
    <row r="35" spans="17:21" x14ac:dyDescent="0.3">
      <c r="Q35" s="332"/>
      <c r="R35" s="332"/>
      <c r="S35" s="332"/>
      <c r="T35" s="332"/>
      <c r="U35" s="332"/>
    </row>
    <row r="36" spans="17:21" x14ac:dyDescent="0.3">
      <c r="Q36" s="332"/>
      <c r="R36" s="332"/>
      <c r="S36" s="332"/>
      <c r="T36" s="332"/>
      <c r="U36" s="332"/>
    </row>
  </sheetData>
  <phoneticPr fontId="6" type="noConversion"/>
  <dataValidations count="4">
    <dataValidation type="list" allowBlank="1" showInputMessage="1" sqref="C4:C9 C20:C25" xr:uid="{4A7E4888-94A1-4C69-A604-6C02012B335F}">
      <formula1>INDIRECT($B4)</formula1>
    </dataValidation>
    <dataValidation type="list" allowBlank="1" showInputMessage="1" sqref="A4:A9 A20:A25" xr:uid="{F753DDDB-88BB-42C4-8F3C-91ED7BE412AD}">
      <formula1>"公立,私立"</formula1>
    </dataValidation>
    <dataValidation allowBlank="1" showInputMessage="1" sqref="D4:D9 D20:D25 B17" xr:uid="{4E8AD866-C67A-48EE-8F11-036D1EBD43E8}"/>
    <dataValidation type="list" allowBlank="1" showInputMessage="1" sqref="B20:B31 B4:B15" xr:uid="{34847A62-AA2C-4147-859A-30AA78C4DC64}">
      <formula1>"幼兒園,國小,國中,高中,國內大學,國外大學,國內研究所,國外研究所,　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landscape" r:id="rId1"/>
  <ignoredErrors>
    <ignoredError sqref="C6:C8" listDataValidation="1"/>
    <ignoredError sqref="S4:T13 F4 S14:T31" calculatedColumn="1"/>
  </ignoredErrors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FFD6-9CB3-4700-B4D7-3743F1BC0462}">
  <dimension ref="A1:L42"/>
  <sheetViews>
    <sheetView showGridLines="0" zoomScale="80" zoomScaleNormal="80" workbookViewId="0">
      <selection activeCell="B4" sqref="B4"/>
    </sheetView>
  </sheetViews>
  <sheetFormatPr defaultColWidth="6.75" defaultRowHeight="16.2" thickBottom="1" x14ac:dyDescent="0.35"/>
  <cols>
    <col min="1" max="1" width="1.5" style="157" customWidth="1"/>
    <col min="2" max="2" width="23.58203125" style="157" customWidth="1"/>
    <col min="3" max="4" width="13.58203125" style="157" customWidth="1"/>
    <col min="5" max="5" width="9.08203125" style="157" customWidth="1"/>
    <col min="6" max="6" width="20.58203125" style="157" customWidth="1"/>
    <col min="7" max="8" width="13.58203125" style="157" customWidth="1"/>
    <col min="9" max="9" width="6.75" style="157"/>
    <col min="10" max="10" width="20.58203125" style="157" customWidth="1"/>
    <col min="11" max="12" width="13.58203125" style="157" customWidth="1"/>
    <col min="13" max="257" width="6.75" style="157"/>
    <col min="258" max="258" width="23.4140625" style="157" bestFit="1" customWidth="1"/>
    <col min="259" max="260" width="9.6640625" style="157" customWidth="1"/>
    <col min="261" max="261" width="16.33203125" style="157" customWidth="1"/>
    <col min="262" max="262" width="20" style="157" customWidth="1"/>
    <col min="263" max="263" width="9.6640625" style="157" customWidth="1"/>
    <col min="264" max="264" width="16.33203125" style="157" customWidth="1"/>
    <col min="265" max="266" width="6.75" style="157"/>
    <col min="267" max="267" width="16.33203125" style="157" customWidth="1"/>
    <col min="268" max="513" width="6.75" style="157"/>
    <col min="514" max="514" width="23.4140625" style="157" bestFit="1" customWidth="1"/>
    <col min="515" max="516" width="9.6640625" style="157" customWidth="1"/>
    <col min="517" max="517" width="16.33203125" style="157" customWidth="1"/>
    <col min="518" max="518" width="20" style="157" customWidth="1"/>
    <col min="519" max="519" width="9.6640625" style="157" customWidth="1"/>
    <col min="520" max="520" width="16.33203125" style="157" customWidth="1"/>
    <col min="521" max="522" width="6.75" style="157"/>
    <col min="523" max="523" width="16.33203125" style="157" customWidth="1"/>
    <col min="524" max="769" width="6.75" style="157"/>
    <col min="770" max="770" width="23.4140625" style="157" bestFit="1" customWidth="1"/>
    <col min="771" max="772" width="9.6640625" style="157" customWidth="1"/>
    <col min="773" max="773" width="16.33203125" style="157" customWidth="1"/>
    <col min="774" max="774" width="20" style="157" customWidth="1"/>
    <col min="775" max="775" width="9.6640625" style="157" customWidth="1"/>
    <col min="776" max="776" width="16.33203125" style="157" customWidth="1"/>
    <col min="777" max="778" width="6.75" style="157"/>
    <col min="779" max="779" width="16.33203125" style="157" customWidth="1"/>
    <col min="780" max="1025" width="6.75" style="157"/>
    <col min="1026" max="1026" width="23.4140625" style="157" bestFit="1" customWidth="1"/>
    <col min="1027" max="1028" width="9.6640625" style="157" customWidth="1"/>
    <col min="1029" max="1029" width="16.33203125" style="157" customWidth="1"/>
    <col min="1030" max="1030" width="20" style="157" customWidth="1"/>
    <col min="1031" max="1031" width="9.6640625" style="157" customWidth="1"/>
    <col min="1032" max="1032" width="16.33203125" style="157" customWidth="1"/>
    <col min="1033" max="1034" width="6.75" style="157"/>
    <col min="1035" max="1035" width="16.33203125" style="157" customWidth="1"/>
    <col min="1036" max="1281" width="6.75" style="157"/>
    <col min="1282" max="1282" width="23.4140625" style="157" bestFit="1" customWidth="1"/>
    <col min="1283" max="1284" width="9.6640625" style="157" customWidth="1"/>
    <col min="1285" max="1285" width="16.33203125" style="157" customWidth="1"/>
    <col min="1286" max="1286" width="20" style="157" customWidth="1"/>
    <col min="1287" max="1287" width="9.6640625" style="157" customWidth="1"/>
    <col min="1288" max="1288" width="16.33203125" style="157" customWidth="1"/>
    <col min="1289" max="1290" width="6.75" style="157"/>
    <col min="1291" max="1291" width="16.33203125" style="157" customWidth="1"/>
    <col min="1292" max="1537" width="6.75" style="157"/>
    <col min="1538" max="1538" width="23.4140625" style="157" bestFit="1" customWidth="1"/>
    <col min="1539" max="1540" width="9.6640625" style="157" customWidth="1"/>
    <col min="1541" max="1541" width="16.33203125" style="157" customWidth="1"/>
    <col min="1542" max="1542" width="20" style="157" customWidth="1"/>
    <col min="1543" max="1543" width="9.6640625" style="157" customWidth="1"/>
    <col min="1544" max="1544" width="16.33203125" style="157" customWidth="1"/>
    <col min="1545" max="1546" width="6.75" style="157"/>
    <col min="1547" max="1547" width="16.33203125" style="157" customWidth="1"/>
    <col min="1548" max="1793" width="6.75" style="157"/>
    <col min="1794" max="1794" width="23.4140625" style="157" bestFit="1" customWidth="1"/>
    <col min="1795" max="1796" width="9.6640625" style="157" customWidth="1"/>
    <col min="1797" max="1797" width="16.33203125" style="157" customWidth="1"/>
    <col min="1798" max="1798" width="20" style="157" customWidth="1"/>
    <col min="1799" max="1799" width="9.6640625" style="157" customWidth="1"/>
    <col min="1800" max="1800" width="16.33203125" style="157" customWidth="1"/>
    <col min="1801" max="1802" width="6.75" style="157"/>
    <col min="1803" max="1803" width="16.33203125" style="157" customWidth="1"/>
    <col min="1804" max="2049" width="6.75" style="157"/>
    <col min="2050" max="2050" width="23.4140625" style="157" bestFit="1" customWidth="1"/>
    <col min="2051" max="2052" width="9.6640625" style="157" customWidth="1"/>
    <col min="2053" max="2053" width="16.33203125" style="157" customWidth="1"/>
    <col min="2054" max="2054" width="20" style="157" customWidth="1"/>
    <col min="2055" max="2055" width="9.6640625" style="157" customWidth="1"/>
    <col min="2056" max="2056" width="16.33203125" style="157" customWidth="1"/>
    <col min="2057" max="2058" width="6.75" style="157"/>
    <col min="2059" max="2059" width="16.33203125" style="157" customWidth="1"/>
    <col min="2060" max="2305" width="6.75" style="157"/>
    <col min="2306" max="2306" width="23.4140625" style="157" bestFit="1" customWidth="1"/>
    <col min="2307" max="2308" width="9.6640625" style="157" customWidth="1"/>
    <col min="2309" max="2309" width="16.33203125" style="157" customWidth="1"/>
    <col min="2310" max="2310" width="20" style="157" customWidth="1"/>
    <col min="2311" max="2311" width="9.6640625" style="157" customWidth="1"/>
    <col min="2312" max="2312" width="16.33203125" style="157" customWidth="1"/>
    <col min="2313" max="2314" width="6.75" style="157"/>
    <col min="2315" max="2315" width="16.33203125" style="157" customWidth="1"/>
    <col min="2316" max="2561" width="6.75" style="157"/>
    <col min="2562" max="2562" width="23.4140625" style="157" bestFit="1" customWidth="1"/>
    <col min="2563" max="2564" width="9.6640625" style="157" customWidth="1"/>
    <col min="2565" max="2565" width="16.33203125" style="157" customWidth="1"/>
    <col min="2566" max="2566" width="20" style="157" customWidth="1"/>
    <col min="2567" max="2567" width="9.6640625" style="157" customWidth="1"/>
    <col min="2568" max="2568" width="16.33203125" style="157" customWidth="1"/>
    <col min="2569" max="2570" width="6.75" style="157"/>
    <col min="2571" max="2571" width="16.33203125" style="157" customWidth="1"/>
    <col min="2572" max="2817" width="6.75" style="157"/>
    <col min="2818" max="2818" width="23.4140625" style="157" bestFit="1" customWidth="1"/>
    <col min="2819" max="2820" width="9.6640625" style="157" customWidth="1"/>
    <col min="2821" max="2821" width="16.33203125" style="157" customWidth="1"/>
    <col min="2822" max="2822" width="20" style="157" customWidth="1"/>
    <col min="2823" max="2823" width="9.6640625" style="157" customWidth="1"/>
    <col min="2824" max="2824" width="16.33203125" style="157" customWidth="1"/>
    <col min="2825" max="2826" width="6.75" style="157"/>
    <col min="2827" max="2827" width="16.33203125" style="157" customWidth="1"/>
    <col min="2828" max="3073" width="6.75" style="157"/>
    <col min="3074" max="3074" width="23.4140625" style="157" bestFit="1" customWidth="1"/>
    <col min="3075" max="3076" width="9.6640625" style="157" customWidth="1"/>
    <col min="3077" max="3077" width="16.33203125" style="157" customWidth="1"/>
    <col min="3078" max="3078" width="20" style="157" customWidth="1"/>
    <col min="3079" max="3079" width="9.6640625" style="157" customWidth="1"/>
    <col min="3080" max="3080" width="16.33203125" style="157" customWidth="1"/>
    <col min="3081" max="3082" width="6.75" style="157"/>
    <col min="3083" max="3083" width="16.33203125" style="157" customWidth="1"/>
    <col min="3084" max="3329" width="6.75" style="157"/>
    <col min="3330" max="3330" width="23.4140625" style="157" bestFit="1" customWidth="1"/>
    <col min="3331" max="3332" width="9.6640625" style="157" customWidth="1"/>
    <col min="3333" max="3333" width="16.33203125" style="157" customWidth="1"/>
    <col min="3334" max="3334" width="20" style="157" customWidth="1"/>
    <col min="3335" max="3335" width="9.6640625" style="157" customWidth="1"/>
    <col min="3336" max="3336" width="16.33203125" style="157" customWidth="1"/>
    <col min="3337" max="3338" width="6.75" style="157"/>
    <col min="3339" max="3339" width="16.33203125" style="157" customWidth="1"/>
    <col min="3340" max="3585" width="6.75" style="157"/>
    <col min="3586" max="3586" width="23.4140625" style="157" bestFit="1" customWidth="1"/>
    <col min="3587" max="3588" width="9.6640625" style="157" customWidth="1"/>
    <col min="3589" max="3589" width="16.33203125" style="157" customWidth="1"/>
    <col min="3590" max="3590" width="20" style="157" customWidth="1"/>
    <col min="3591" max="3591" width="9.6640625" style="157" customWidth="1"/>
    <col min="3592" max="3592" width="16.33203125" style="157" customWidth="1"/>
    <col min="3593" max="3594" width="6.75" style="157"/>
    <col min="3595" max="3595" width="16.33203125" style="157" customWidth="1"/>
    <col min="3596" max="3841" width="6.75" style="157"/>
    <col min="3842" max="3842" width="23.4140625" style="157" bestFit="1" customWidth="1"/>
    <col min="3843" max="3844" width="9.6640625" style="157" customWidth="1"/>
    <col min="3845" max="3845" width="16.33203125" style="157" customWidth="1"/>
    <col min="3846" max="3846" width="20" style="157" customWidth="1"/>
    <col min="3847" max="3847" width="9.6640625" style="157" customWidth="1"/>
    <col min="3848" max="3848" width="16.33203125" style="157" customWidth="1"/>
    <col min="3849" max="3850" width="6.75" style="157"/>
    <col min="3851" max="3851" width="16.33203125" style="157" customWidth="1"/>
    <col min="3852" max="4097" width="6.75" style="157"/>
    <col min="4098" max="4098" width="23.4140625" style="157" bestFit="1" customWidth="1"/>
    <col min="4099" max="4100" width="9.6640625" style="157" customWidth="1"/>
    <col min="4101" max="4101" width="16.33203125" style="157" customWidth="1"/>
    <col min="4102" max="4102" width="20" style="157" customWidth="1"/>
    <col min="4103" max="4103" width="9.6640625" style="157" customWidth="1"/>
    <col min="4104" max="4104" width="16.33203125" style="157" customWidth="1"/>
    <col min="4105" max="4106" width="6.75" style="157"/>
    <col min="4107" max="4107" width="16.33203125" style="157" customWidth="1"/>
    <col min="4108" max="4353" width="6.75" style="157"/>
    <col min="4354" max="4354" width="23.4140625" style="157" bestFit="1" customWidth="1"/>
    <col min="4355" max="4356" width="9.6640625" style="157" customWidth="1"/>
    <col min="4357" max="4357" width="16.33203125" style="157" customWidth="1"/>
    <col min="4358" max="4358" width="20" style="157" customWidth="1"/>
    <col min="4359" max="4359" width="9.6640625" style="157" customWidth="1"/>
    <col min="4360" max="4360" width="16.33203125" style="157" customWidth="1"/>
    <col min="4361" max="4362" width="6.75" style="157"/>
    <col min="4363" max="4363" width="16.33203125" style="157" customWidth="1"/>
    <col min="4364" max="4609" width="6.75" style="157"/>
    <col min="4610" max="4610" width="23.4140625" style="157" bestFit="1" customWidth="1"/>
    <col min="4611" max="4612" width="9.6640625" style="157" customWidth="1"/>
    <col min="4613" max="4613" width="16.33203125" style="157" customWidth="1"/>
    <col min="4614" max="4614" width="20" style="157" customWidth="1"/>
    <col min="4615" max="4615" width="9.6640625" style="157" customWidth="1"/>
    <col min="4616" max="4616" width="16.33203125" style="157" customWidth="1"/>
    <col min="4617" max="4618" width="6.75" style="157"/>
    <col min="4619" max="4619" width="16.33203125" style="157" customWidth="1"/>
    <col min="4620" max="4865" width="6.75" style="157"/>
    <col min="4866" max="4866" width="23.4140625" style="157" bestFit="1" customWidth="1"/>
    <col min="4867" max="4868" width="9.6640625" style="157" customWidth="1"/>
    <col min="4869" max="4869" width="16.33203125" style="157" customWidth="1"/>
    <col min="4870" max="4870" width="20" style="157" customWidth="1"/>
    <col min="4871" max="4871" width="9.6640625" style="157" customWidth="1"/>
    <col min="4872" max="4872" width="16.33203125" style="157" customWidth="1"/>
    <col min="4873" max="4874" width="6.75" style="157"/>
    <col min="4875" max="4875" width="16.33203125" style="157" customWidth="1"/>
    <col min="4876" max="5121" width="6.75" style="157"/>
    <col min="5122" max="5122" width="23.4140625" style="157" bestFit="1" customWidth="1"/>
    <col min="5123" max="5124" width="9.6640625" style="157" customWidth="1"/>
    <col min="5125" max="5125" width="16.33203125" style="157" customWidth="1"/>
    <col min="5126" max="5126" width="20" style="157" customWidth="1"/>
    <col min="5127" max="5127" width="9.6640625" style="157" customWidth="1"/>
    <col min="5128" max="5128" width="16.33203125" style="157" customWidth="1"/>
    <col min="5129" max="5130" width="6.75" style="157"/>
    <col min="5131" max="5131" width="16.33203125" style="157" customWidth="1"/>
    <col min="5132" max="5377" width="6.75" style="157"/>
    <col min="5378" max="5378" width="23.4140625" style="157" bestFit="1" customWidth="1"/>
    <col min="5379" max="5380" width="9.6640625" style="157" customWidth="1"/>
    <col min="5381" max="5381" width="16.33203125" style="157" customWidth="1"/>
    <col min="5382" max="5382" width="20" style="157" customWidth="1"/>
    <col min="5383" max="5383" width="9.6640625" style="157" customWidth="1"/>
    <col min="5384" max="5384" width="16.33203125" style="157" customWidth="1"/>
    <col min="5385" max="5386" width="6.75" style="157"/>
    <col min="5387" max="5387" width="16.33203125" style="157" customWidth="1"/>
    <col min="5388" max="5633" width="6.75" style="157"/>
    <col min="5634" max="5634" width="23.4140625" style="157" bestFit="1" customWidth="1"/>
    <col min="5635" max="5636" width="9.6640625" style="157" customWidth="1"/>
    <col min="5637" max="5637" width="16.33203125" style="157" customWidth="1"/>
    <col min="5638" max="5638" width="20" style="157" customWidth="1"/>
    <col min="5639" max="5639" width="9.6640625" style="157" customWidth="1"/>
    <col min="5640" max="5640" width="16.33203125" style="157" customWidth="1"/>
    <col min="5641" max="5642" width="6.75" style="157"/>
    <col min="5643" max="5643" width="16.33203125" style="157" customWidth="1"/>
    <col min="5644" max="5889" width="6.75" style="157"/>
    <col min="5890" max="5890" width="23.4140625" style="157" bestFit="1" customWidth="1"/>
    <col min="5891" max="5892" width="9.6640625" style="157" customWidth="1"/>
    <col min="5893" max="5893" width="16.33203125" style="157" customWidth="1"/>
    <col min="5894" max="5894" width="20" style="157" customWidth="1"/>
    <col min="5895" max="5895" width="9.6640625" style="157" customWidth="1"/>
    <col min="5896" max="5896" width="16.33203125" style="157" customWidth="1"/>
    <col min="5897" max="5898" width="6.75" style="157"/>
    <col min="5899" max="5899" width="16.33203125" style="157" customWidth="1"/>
    <col min="5900" max="6145" width="6.75" style="157"/>
    <col min="6146" max="6146" width="23.4140625" style="157" bestFit="1" customWidth="1"/>
    <col min="6147" max="6148" width="9.6640625" style="157" customWidth="1"/>
    <col min="6149" max="6149" width="16.33203125" style="157" customWidth="1"/>
    <col min="6150" max="6150" width="20" style="157" customWidth="1"/>
    <col min="6151" max="6151" width="9.6640625" style="157" customWidth="1"/>
    <col min="6152" max="6152" width="16.33203125" style="157" customWidth="1"/>
    <col min="6153" max="6154" width="6.75" style="157"/>
    <col min="6155" max="6155" width="16.33203125" style="157" customWidth="1"/>
    <col min="6156" max="6401" width="6.75" style="157"/>
    <col min="6402" max="6402" width="23.4140625" style="157" bestFit="1" customWidth="1"/>
    <col min="6403" max="6404" width="9.6640625" style="157" customWidth="1"/>
    <col min="6405" max="6405" width="16.33203125" style="157" customWidth="1"/>
    <col min="6406" max="6406" width="20" style="157" customWidth="1"/>
    <col min="6407" max="6407" width="9.6640625" style="157" customWidth="1"/>
    <col min="6408" max="6408" width="16.33203125" style="157" customWidth="1"/>
    <col min="6409" max="6410" width="6.75" style="157"/>
    <col min="6411" max="6411" width="16.33203125" style="157" customWidth="1"/>
    <col min="6412" max="6657" width="6.75" style="157"/>
    <col min="6658" max="6658" width="23.4140625" style="157" bestFit="1" customWidth="1"/>
    <col min="6659" max="6660" width="9.6640625" style="157" customWidth="1"/>
    <col min="6661" max="6661" width="16.33203125" style="157" customWidth="1"/>
    <col min="6662" max="6662" width="20" style="157" customWidth="1"/>
    <col min="6663" max="6663" width="9.6640625" style="157" customWidth="1"/>
    <col min="6664" max="6664" width="16.33203125" style="157" customWidth="1"/>
    <col min="6665" max="6666" width="6.75" style="157"/>
    <col min="6667" max="6667" width="16.33203125" style="157" customWidth="1"/>
    <col min="6668" max="6913" width="6.75" style="157"/>
    <col min="6914" max="6914" width="23.4140625" style="157" bestFit="1" customWidth="1"/>
    <col min="6915" max="6916" width="9.6640625" style="157" customWidth="1"/>
    <col min="6917" max="6917" width="16.33203125" style="157" customWidth="1"/>
    <col min="6918" max="6918" width="20" style="157" customWidth="1"/>
    <col min="6919" max="6919" width="9.6640625" style="157" customWidth="1"/>
    <col min="6920" max="6920" width="16.33203125" style="157" customWidth="1"/>
    <col min="6921" max="6922" width="6.75" style="157"/>
    <col min="6923" max="6923" width="16.33203125" style="157" customWidth="1"/>
    <col min="6924" max="7169" width="6.75" style="157"/>
    <col min="7170" max="7170" width="23.4140625" style="157" bestFit="1" customWidth="1"/>
    <col min="7171" max="7172" width="9.6640625" style="157" customWidth="1"/>
    <col min="7173" max="7173" width="16.33203125" style="157" customWidth="1"/>
    <col min="7174" max="7174" width="20" style="157" customWidth="1"/>
    <col min="7175" max="7175" width="9.6640625" style="157" customWidth="1"/>
    <col min="7176" max="7176" width="16.33203125" style="157" customWidth="1"/>
    <col min="7177" max="7178" width="6.75" style="157"/>
    <col min="7179" max="7179" width="16.33203125" style="157" customWidth="1"/>
    <col min="7180" max="7425" width="6.75" style="157"/>
    <col min="7426" max="7426" width="23.4140625" style="157" bestFit="1" customWidth="1"/>
    <col min="7427" max="7428" width="9.6640625" style="157" customWidth="1"/>
    <col min="7429" max="7429" width="16.33203125" style="157" customWidth="1"/>
    <col min="7430" max="7430" width="20" style="157" customWidth="1"/>
    <col min="7431" max="7431" width="9.6640625" style="157" customWidth="1"/>
    <col min="7432" max="7432" width="16.33203125" style="157" customWidth="1"/>
    <col min="7433" max="7434" width="6.75" style="157"/>
    <col min="7435" max="7435" width="16.33203125" style="157" customWidth="1"/>
    <col min="7436" max="7681" width="6.75" style="157"/>
    <col min="7682" max="7682" width="23.4140625" style="157" bestFit="1" customWidth="1"/>
    <col min="7683" max="7684" width="9.6640625" style="157" customWidth="1"/>
    <col min="7685" max="7685" width="16.33203125" style="157" customWidth="1"/>
    <col min="7686" max="7686" width="20" style="157" customWidth="1"/>
    <col min="7687" max="7687" width="9.6640625" style="157" customWidth="1"/>
    <col min="7688" max="7688" width="16.33203125" style="157" customWidth="1"/>
    <col min="7689" max="7690" width="6.75" style="157"/>
    <col min="7691" max="7691" width="16.33203125" style="157" customWidth="1"/>
    <col min="7692" max="7937" width="6.75" style="157"/>
    <col min="7938" max="7938" width="23.4140625" style="157" bestFit="1" customWidth="1"/>
    <col min="7939" max="7940" width="9.6640625" style="157" customWidth="1"/>
    <col min="7941" max="7941" width="16.33203125" style="157" customWidth="1"/>
    <col min="7942" max="7942" width="20" style="157" customWidth="1"/>
    <col min="7943" max="7943" width="9.6640625" style="157" customWidth="1"/>
    <col min="7944" max="7944" width="16.33203125" style="157" customWidth="1"/>
    <col min="7945" max="7946" width="6.75" style="157"/>
    <col min="7947" max="7947" width="16.33203125" style="157" customWidth="1"/>
    <col min="7948" max="8193" width="6.75" style="157"/>
    <col min="8194" max="8194" width="23.4140625" style="157" bestFit="1" customWidth="1"/>
    <col min="8195" max="8196" width="9.6640625" style="157" customWidth="1"/>
    <col min="8197" max="8197" width="16.33203125" style="157" customWidth="1"/>
    <col min="8198" max="8198" width="20" style="157" customWidth="1"/>
    <col min="8199" max="8199" width="9.6640625" style="157" customWidth="1"/>
    <col min="8200" max="8200" width="16.33203125" style="157" customWidth="1"/>
    <col min="8201" max="8202" width="6.75" style="157"/>
    <col min="8203" max="8203" width="16.33203125" style="157" customWidth="1"/>
    <col min="8204" max="8449" width="6.75" style="157"/>
    <col min="8450" max="8450" width="23.4140625" style="157" bestFit="1" customWidth="1"/>
    <col min="8451" max="8452" width="9.6640625" style="157" customWidth="1"/>
    <col min="8453" max="8453" width="16.33203125" style="157" customWidth="1"/>
    <col min="8454" max="8454" width="20" style="157" customWidth="1"/>
    <col min="8455" max="8455" width="9.6640625" style="157" customWidth="1"/>
    <col min="8456" max="8456" width="16.33203125" style="157" customWidth="1"/>
    <col min="8457" max="8458" width="6.75" style="157"/>
    <col min="8459" max="8459" width="16.33203125" style="157" customWidth="1"/>
    <col min="8460" max="8705" width="6.75" style="157"/>
    <col min="8706" max="8706" width="23.4140625" style="157" bestFit="1" customWidth="1"/>
    <col min="8707" max="8708" width="9.6640625" style="157" customWidth="1"/>
    <col min="8709" max="8709" width="16.33203125" style="157" customWidth="1"/>
    <col min="8710" max="8710" width="20" style="157" customWidth="1"/>
    <col min="8711" max="8711" width="9.6640625" style="157" customWidth="1"/>
    <col min="8712" max="8712" width="16.33203125" style="157" customWidth="1"/>
    <col min="8713" max="8714" width="6.75" style="157"/>
    <col min="8715" max="8715" width="16.33203125" style="157" customWidth="1"/>
    <col min="8716" max="8961" width="6.75" style="157"/>
    <col min="8962" max="8962" width="23.4140625" style="157" bestFit="1" customWidth="1"/>
    <col min="8963" max="8964" width="9.6640625" style="157" customWidth="1"/>
    <col min="8965" max="8965" width="16.33203125" style="157" customWidth="1"/>
    <col min="8966" max="8966" width="20" style="157" customWidth="1"/>
    <col min="8967" max="8967" width="9.6640625" style="157" customWidth="1"/>
    <col min="8968" max="8968" width="16.33203125" style="157" customWidth="1"/>
    <col min="8969" max="8970" width="6.75" style="157"/>
    <col min="8971" max="8971" width="16.33203125" style="157" customWidth="1"/>
    <col min="8972" max="9217" width="6.75" style="157"/>
    <col min="9218" max="9218" width="23.4140625" style="157" bestFit="1" customWidth="1"/>
    <col min="9219" max="9220" width="9.6640625" style="157" customWidth="1"/>
    <col min="9221" max="9221" width="16.33203125" style="157" customWidth="1"/>
    <col min="9222" max="9222" width="20" style="157" customWidth="1"/>
    <col min="9223" max="9223" width="9.6640625" style="157" customWidth="1"/>
    <col min="9224" max="9224" width="16.33203125" style="157" customWidth="1"/>
    <col min="9225" max="9226" width="6.75" style="157"/>
    <col min="9227" max="9227" width="16.33203125" style="157" customWidth="1"/>
    <col min="9228" max="9473" width="6.75" style="157"/>
    <col min="9474" max="9474" width="23.4140625" style="157" bestFit="1" customWidth="1"/>
    <col min="9475" max="9476" width="9.6640625" style="157" customWidth="1"/>
    <col min="9477" max="9477" width="16.33203125" style="157" customWidth="1"/>
    <col min="9478" max="9478" width="20" style="157" customWidth="1"/>
    <col min="9479" max="9479" width="9.6640625" style="157" customWidth="1"/>
    <col min="9480" max="9480" width="16.33203125" style="157" customWidth="1"/>
    <col min="9481" max="9482" width="6.75" style="157"/>
    <col min="9483" max="9483" width="16.33203125" style="157" customWidth="1"/>
    <col min="9484" max="9729" width="6.75" style="157"/>
    <col min="9730" max="9730" width="23.4140625" style="157" bestFit="1" customWidth="1"/>
    <col min="9731" max="9732" width="9.6640625" style="157" customWidth="1"/>
    <col min="9733" max="9733" width="16.33203125" style="157" customWidth="1"/>
    <col min="9734" max="9734" width="20" style="157" customWidth="1"/>
    <col min="9735" max="9735" width="9.6640625" style="157" customWidth="1"/>
    <col min="9736" max="9736" width="16.33203125" style="157" customWidth="1"/>
    <col min="9737" max="9738" width="6.75" style="157"/>
    <col min="9739" max="9739" width="16.33203125" style="157" customWidth="1"/>
    <col min="9740" max="9985" width="6.75" style="157"/>
    <col min="9986" max="9986" width="23.4140625" style="157" bestFit="1" customWidth="1"/>
    <col min="9987" max="9988" width="9.6640625" style="157" customWidth="1"/>
    <col min="9989" max="9989" width="16.33203125" style="157" customWidth="1"/>
    <col min="9990" max="9990" width="20" style="157" customWidth="1"/>
    <col min="9991" max="9991" width="9.6640625" style="157" customWidth="1"/>
    <col min="9992" max="9992" width="16.33203125" style="157" customWidth="1"/>
    <col min="9993" max="9994" width="6.75" style="157"/>
    <col min="9995" max="9995" width="16.33203125" style="157" customWidth="1"/>
    <col min="9996" max="10241" width="6.75" style="157"/>
    <col min="10242" max="10242" width="23.4140625" style="157" bestFit="1" customWidth="1"/>
    <col min="10243" max="10244" width="9.6640625" style="157" customWidth="1"/>
    <col min="10245" max="10245" width="16.33203125" style="157" customWidth="1"/>
    <col min="10246" max="10246" width="20" style="157" customWidth="1"/>
    <col min="10247" max="10247" width="9.6640625" style="157" customWidth="1"/>
    <col min="10248" max="10248" width="16.33203125" style="157" customWidth="1"/>
    <col min="10249" max="10250" width="6.75" style="157"/>
    <col min="10251" max="10251" width="16.33203125" style="157" customWidth="1"/>
    <col min="10252" max="10497" width="6.75" style="157"/>
    <col min="10498" max="10498" width="23.4140625" style="157" bestFit="1" customWidth="1"/>
    <col min="10499" max="10500" width="9.6640625" style="157" customWidth="1"/>
    <col min="10501" max="10501" width="16.33203125" style="157" customWidth="1"/>
    <col min="10502" max="10502" width="20" style="157" customWidth="1"/>
    <col min="10503" max="10503" width="9.6640625" style="157" customWidth="1"/>
    <col min="10504" max="10504" width="16.33203125" style="157" customWidth="1"/>
    <col min="10505" max="10506" width="6.75" style="157"/>
    <col min="10507" max="10507" width="16.33203125" style="157" customWidth="1"/>
    <col min="10508" max="10753" width="6.75" style="157"/>
    <col min="10754" max="10754" width="23.4140625" style="157" bestFit="1" customWidth="1"/>
    <col min="10755" max="10756" width="9.6640625" style="157" customWidth="1"/>
    <col min="10757" max="10757" width="16.33203125" style="157" customWidth="1"/>
    <col min="10758" max="10758" width="20" style="157" customWidth="1"/>
    <col min="10759" max="10759" width="9.6640625" style="157" customWidth="1"/>
    <col min="10760" max="10760" width="16.33203125" style="157" customWidth="1"/>
    <col min="10761" max="10762" width="6.75" style="157"/>
    <col min="10763" max="10763" width="16.33203125" style="157" customWidth="1"/>
    <col min="10764" max="11009" width="6.75" style="157"/>
    <col min="11010" max="11010" width="23.4140625" style="157" bestFit="1" customWidth="1"/>
    <col min="11011" max="11012" width="9.6640625" style="157" customWidth="1"/>
    <col min="11013" max="11013" width="16.33203125" style="157" customWidth="1"/>
    <col min="11014" max="11014" width="20" style="157" customWidth="1"/>
    <col min="11015" max="11015" width="9.6640625" style="157" customWidth="1"/>
    <col min="11016" max="11016" width="16.33203125" style="157" customWidth="1"/>
    <col min="11017" max="11018" width="6.75" style="157"/>
    <col min="11019" max="11019" width="16.33203125" style="157" customWidth="1"/>
    <col min="11020" max="11265" width="6.75" style="157"/>
    <col min="11266" max="11266" width="23.4140625" style="157" bestFit="1" customWidth="1"/>
    <col min="11267" max="11268" width="9.6640625" style="157" customWidth="1"/>
    <col min="11269" max="11269" width="16.33203125" style="157" customWidth="1"/>
    <col min="11270" max="11270" width="20" style="157" customWidth="1"/>
    <col min="11271" max="11271" width="9.6640625" style="157" customWidth="1"/>
    <col min="11272" max="11272" width="16.33203125" style="157" customWidth="1"/>
    <col min="11273" max="11274" width="6.75" style="157"/>
    <col min="11275" max="11275" width="16.33203125" style="157" customWidth="1"/>
    <col min="11276" max="11521" width="6.75" style="157"/>
    <col min="11522" max="11522" width="23.4140625" style="157" bestFit="1" customWidth="1"/>
    <col min="11523" max="11524" width="9.6640625" style="157" customWidth="1"/>
    <col min="11525" max="11525" width="16.33203125" style="157" customWidth="1"/>
    <col min="11526" max="11526" width="20" style="157" customWidth="1"/>
    <col min="11527" max="11527" width="9.6640625" style="157" customWidth="1"/>
    <col min="11528" max="11528" width="16.33203125" style="157" customWidth="1"/>
    <col min="11529" max="11530" width="6.75" style="157"/>
    <col min="11531" max="11531" width="16.33203125" style="157" customWidth="1"/>
    <col min="11532" max="11777" width="6.75" style="157"/>
    <col min="11778" max="11778" width="23.4140625" style="157" bestFit="1" customWidth="1"/>
    <col min="11779" max="11780" width="9.6640625" style="157" customWidth="1"/>
    <col min="11781" max="11781" width="16.33203125" style="157" customWidth="1"/>
    <col min="11782" max="11782" width="20" style="157" customWidth="1"/>
    <col min="11783" max="11783" width="9.6640625" style="157" customWidth="1"/>
    <col min="11784" max="11784" width="16.33203125" style="157" customWidth="1"/>
    <col min="11785" max="11786" width="6.75" style="157"/>
    <col min="11787" max="11787" width="16.33203125" style="157" customWidth="1"/>
    <col min="11788" max="12033" width="6.75" style="157"/>
    <col min="12034" max="12034" width="23.4140625" style="157" bestFit="1" customWidth="1"/>
    <col min="12035" max="12036" width="9.6640625" style="157" customWidth="1"/>
    <col min="12037" max="12037" width="16.33203125" style="157" customWidth="1"/>
    <col min="12038" max="12038" width="20" style="157" customWidth="1"/>
    <col min="12039" max="12039" width="9.6640625" style="157" customWidth="1"/>
    <col min="12040" max="12040" width="16.33203125" style="157" customWidth="1"/>
    <col min="12041" max="12042" width="6.75" style="157"/>
    <col min="12043" max="12043" width="16.33203125" style="157" customWidth="1"/>
    <col min="12044" max="12289" width="6.75" style="157"/>
    <col min="12290" max="12290" width="23.4140625" style="157" bestFit="1" customWidth="1"/>
    <col min="12291" max="12292" width="9.6640625" style="157" customWidth="1"/>
    <col min="12293" max="12293" width="16.33203125" style="157" customWidth="1"/>
    <col min="12294" max="12294" width="20" style="157" customWidth="1"/>
    <col min="12295" max="12295" width="9.6640625" style="157" customWidth="1"/>
    <col min="12296" max="12296" width="16.33203125" style="157" customWidth="1"/>
    <col min="12297" max="12298" width="6.75" style="157"/>
    <col min="12299" max="12299" width="16.33203125" style="157" customWidth="1"/>
    <col min="12300" max="12545" width="6.75" style="157"/>
    <col min="12546" max="12546" width="23.4140625" style="157" bestFit="1" customWidth="1"/>
    <col min="12547" max="12548" width="9.6640625" style="157" customWidth="1"/>
    <col min="12549" max="12549" width="16.33203125" style="157" customWidth="1"/>
    <col min="12550" max="12550" width="20" style="157" customWidth="1"/>
    <col min="12551" max="12551" width="9.6640625" style="157" customWidth="1"/>
    <col min="12552" max="12552" width="16.33203125" style="157" customWidth="1"/>
    <col min="12553" max="12554" width="6.75" style="157"/>
    <col min="12555" max="12555" width="16.33203125" style="157" customWidth="1"/>
    <col min="12556" max="12801" width="6.75" style="157"/>
    <col min="12802" max="12802" width="23.4140625" style="157" bestFit="1" customWidth="1"/>
    <col min="12803" max="12804" width="9.6640625" style="157" customWidth="1"/>
    <col min="12805" max="12805" width="16.33203125" style="157" customWidth="1"/>
    <col min="12806" max="12806" width="20" style="157" customWidth="1"/>
    <col min="12807" max="12807" width="9.6640625" style="157" customWidth="1"/>
    <col min="12808" max="12808" width="16.33203125" style="157" customWidth="1"/>
    <col min="12809" max="12810" width="6.75" style="157"/>
    <col min="12811" max="12811" width="16.33203125" style="157" customWidth="1"/>
    <col min="12812" max="13057" width="6.75" style="157"/>
    <col min="13058" max="13058" width="23.4140625" style="157" bestFit="1" customWidth="1"/>
    <col min="13059" max="13060" width="9.6640625" style="157" customWidth="1"/>
    <col min="13061" max="13061" width="16.33203125" style="157" customWidth="1"/>
    <col min="13062" max="13062" width="20" style="157" customWidth="1"/>
    <col min="13063" max="13063" width="9.6640625" style="157" customWidth="1"/>
    <col min="13064" max="13064" width="16.33203125" style="157" customWidth="1"/>
    <col min="13065" max="13066" width="6.75" style="157"/>
    <col min="13067" max="13067" width="16.33203125" style="157" customWidth="1"/>
    <col min="13068" max="13313" width="6.75" style="157"/>
    <col min="13314" max="13314" width="23.4140625" style="157" bestFit="1" customWidth="1"/>
    <col min="13315" max="13316" width="9.6640625" style="157" customWidth="1"/>
    <col min="13317" max="13317" width="16.33203125" style="157" customWidth="1"/>
    <col min="13318" max="13318" width="20" style="157" customWidth="1"/>
    <col min="13319" max="13319" width="9.6640625" style="157" customWidth="1"/>
    <col min="13320" max="13320" width="16.33203125" style="157" customWidth="1"/>
    <col min="13321" max="13322" width="6.75" style="157"/>
    <col min="13323" max="13323" width="16.33203125" style="157" customWidth="1"/>
    <col min="13324" max="13569" width="6.75" style="157"/>
    <col min="13570" max="13570" width="23.4140625" style="157" bestFit="1" customWidth="1"/>
    <col min="13571" max="13572" width="9.6640625" style="157" customWidth="1"/>
    <col min="13573" max="13573" width="16.33203125" style="157" customWidth="1"/>
    <col min="13574" max="13574" width="20" style="157" customWidth="1"/>
    <col min="13575" max="13575" width="9.6640625" style="157" customWidth="1"/>
    <col min="13576" max="13576" width="16.33203125" style="157" customWidth="1"/>
    <col min="13577" max="13578" width="6.75" style="157"/>
    <col min="13579" max="13579" width="16.33203125" style="157" customWidth="1"/>
    <col min="13580" max="13825" width="6.75" style="157"/>
    <col min="13826" max="13826" width="23.4140625" style="157" bestFit="1" customWidth="1"/>
    <col min="13827" max="13828" width="9.6640625" style="157" customWidth="1"/>
    <col min="13829" max="13829" width="16.33203125" style="157" customWidth="1"/>
    <col min="13830" max="13830" width="20" style="157" customWidth="1"/>
    <col min="13831" max="13831" width="9.6640625" style="157" customWidth="1"/>
    <col min="13832" max="13832" width="16.33203125" style="157" customWidth="1"/>
    <col min="13833" max="13834" width="6.75" style="157"/>
    <col min="13835" max="13835" width="16.33203125" style="157" customWidth="1"/>
    <col min="13836" max="14081" width="6.75" style="157"/>
    <col min="14082" max="14082" width="23.4140625" style="157" bestFit="1" customWidth="1"/>
    <col min="14083" max="14084" width="9.6640625" style="157" customWidth="1"/>
    <col min="14085" max="14085" width="16.33203125" style="157" customWidth="1"/>
    <col min="14086" max="14086" width="20" style="157" customWidth="1"/>
    <col min="14087" max="14087" width="9.6640625" style="157" customWidth="1"/>
    <col min="14088" max="14088" width="16.33203125" style="157" customWidth="1"/>
    <col min="14089" max="14090" width="6.75" style="157"/>
    <col min="14091" max="14091" width="16.33203125" style="157" customWidth="1"/>
    <col min="14092" max="14337" width="6.75" style="157"/>
    <col min="14338" max="14338" width="23.4140625" style="157" bestFit="1" customWidth="1"/>
    <col min="14339" max="14340" width="9.6640625" style="157" customWidth="1"/>
    <col min="14341" max="14341" width="16.33203125" style="157" customWidth="1"/>
    <col min="14342" max="14342" width="20" style="157" customWidth="1"/>
    <col min="14343" max="14343" width="9.6640625" style="157" customWidth="1"/>
    <col min="14344" max="14344" width="16.33203125" style="157" customWidth="1"/>
    <col min="14345" max="14346" width="6.75" style="157"/>
    <col min="14347" max="14347" width="16.33203125" style="157" customWidth="1"/>
    <col min="14348" max="14593" width="6.75" style="157"/>
    <col min="14594" max="14594" width="23.4140625" style="157" bestFit="1" customWidth="1"/>
    <col min="14595" max="14596" width="9.6640625" style="157" customWidth="1"/>
    <col min="14597" max="14597" width="16.33203125" style="157" customWidth="1"/>
    <col min="14598" max="14598" width="20" style="157" customWidth="1"/>
    <col min="14599" max="14599" width="9.6640625" style="157" customWidth="1"/>
    <col min="14600" max="14600" width="16.33203125" style="157" customWidth="1"/>
    <col min="14601" max="14602" width="6.75" style="157"/>
    <col min="14603" max="14603" width="16.33203125" style="157" customWidth="1"/>
    <col min="14604" max="14849" width="6.75" style="157"/>
    <col min="14850" max="14850" width="23.4140625" style="157" bestFit="1" customWidth="1"/>
    <col min="14851" max="14852" width="9.6640625" style="157" customWidth="1"/>
    <col min="14853" max="14853" width="16.33203125" style="157" customWidth="1"/>
    <col min="14854" max="14854" width="20" style="157" customWidth="1"/>
    <col min="14855" max="14855" width="9.6640625" style="157" customWidth="1"/>
    <col min="14856" max="14856" width="16.33203125" style="157" customWidth="1"/>
    <col min="14857" max="14858" width="6.75" style="157"/>
    <col min="14859" max="14859" width="16.33203125" style="157" customWidth="1"/>
    <col min="14860" max="15105" width="6.75" style="157"/>
    <col min="15106" max="15106" width="23.4140625" style="157" bestFit="1" customWidth="1"/>
    <col min="15107" max="15108" width="9.6640625" style="157" customWidth="1"/>
    <col min="15109" max="15109" width="16.33203125" style="157" customWidth="1"/>
    <col min="15110" max="15110" width="20" style="157" customWidth="1"/>
    <col min="15111" max="15111" width="9.6640625" style="157" customWidth="1"/>
    <col min="15112" max="15112" width="16.33203125" style="157" customWidth="1"/>
    <col min="15113" max="15114" width="6.75" style="157"/>
    <col min="15115" max="15115" width="16.33203125" style="157" customWidth="1"/>
    <col min="15116" max="15361" width="6.75" style="157"/>
    <col min="15362" max="15362" width="23.4140625" style="157" bestFit="1" customWidth="1"/>
    <col min="15363" max="15364" width="9.6640625" style="157" customWidth="1"/>
    <col min="15365" max="15365" width="16.33203125" style="157" customWidth="1"/>
    <col min="15366" max="15366" width="20" style="157" customWidth="1"/>
    <col min="15367" max="15367" width="9.6640625" style="157" customWidth="1"/>
    <col min="15368" max="15368" width="16.33203125" style="157" customWidth="1"/>
    <col min="15369" max="15370" width="6.75" style="157"/>
    <col min="15371" max="15371" width="16.33203125" style="157" customWidth="1"/>
    <col min="15372" max="15617" width="6.75" style="157"/>
    <col min="15618" max="15618" width="23.4140625" style="157" bestFit="1" customWidth="1"/>
    <col min="15619" max="15620" width="9.6640625" style="157" customWidth="1"/>
    <col min="15621" max="15621" width="16.33203125" style="157" customWidth="1"/>
    <col min="15622" max="15622" width="20" style="157" customWidth="1"/>
    <col min="15623" max="15623" width="9.6640625" style="157" customWidth="1"/>
    <col min="15624" max="15624" width="16.33203125" style="157" customWidth="1"/>
    <col min="15625" max="15626" width="6.75" style="157"/>
    <col min="15627" max="15627" width="16.33203125" style="157" customWidth="1"/>
    <col min="15628" max="15873" width="6.75" style="157"/>
    <col min="15874" max="15874" width="23.4140625" style="157" bestFit="1" customWidth="1"/>
    <col min="15875" max="15876" width="9.6640625" style="157" customWidth="1"/>
    <col min="15877" max="15877" width="16.33203125" style="157" customWidth="1"/>
    <col min="15878" max="15878" width="20" style="157" customWidth="1"/>
    <col min="15879" max="15879" width="9.6640625" style="157" customWidth="1"/>
    <col min="15880" max="15880" width="16.33203125" style="157" customWidth="1"/>
    <col min="15881" max="15882" width="6.75" style="157"/>
    <col min="15883" max="15883" width="16.33203125" style="157" customWidth="1"/>
    <col min="15884" max="16129" width="6.75" style="157"/>
    <col min="16130" max="16130" width="23.4140625" style="157" bestFit="1" customWidth="1"/>
    <col min="16131" max="16132" width="9.6640625" style="157" customWidth="1"/>
    <col min="16133" max="16133" width="16.33203125" style="157" customWidth="1"/>
    <col min="16134" max="16134" width="20" style="157" customWidth="1"/>
    <col min="16135" max="16135" width="9.6640625" style="157" customWidth="1"/>
    <col min="16136" max="16136" width="16.33203125" style="157" customWidth="1"/>
    <col min="16137" max="16138" width="6.75" style="157"/>
    <col min="16139" max="16139" width="16.33203125" style="157" customWidth="1"/>
    <col min="16140" max="16384" width="6.75" style="157"/>
  </cols>
  <sheetData>
    <row r="1" spans="1:12" thickBot="1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0"/>
    </row>
    <row r="2" spans="1:12" ht="28.5" customHeight="1" thickBot="1" x14ac:dyDescent="0.35">
      <c r="A2" s="162"/>
      <c r="B2" s="567" t="s">
        <v>153</v>
      </c>
      <c r="C2" s="567"/>
      <c r="D2" s="567"/>
      <c r="E2" s="162"/>
      <c r="F2" s="567" t="s">
        <v>155</v>
      </c>
      <c r="G2" s="568"/>
      <c r="H2" s="568"/>
      <c r="I2" s="162"/>
    </row>
    <row r="3" spans="1:12" ht="12" customHeight="1" thickBot="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ht="22.2" customHeight="1" thickBot="1" x14ac:dyDescent="0.35">
      <c r="A4" s="162"/>
      <c r="B4" s="258"/>
      <c r="C4" s="259" t="s">
        <v>151</v>
      </c>
      <c r="D4" s="259" t="s">
        <v>152</v>
      </c>
      <c r="E4" s="162"/>
      <c r="F4" s="258"/>
      <c r="G4" s="259" t="s">
        <v>151</v>
      </c>
      <c r="H4" s="259" t="s">
        <v>152</v>
      </c>
      <c r="I4" s="162"/>
    </row>
    <row r="5" spans="1:12" ht="25.95" customHeight="1" thickBot="1" x14ac:dyDescent="0.35">
      <c r="A5" s="162"/>
      <c r="B5" s="569" t="s">
        <v>154</v>
      </c>
      <c r="C5" s="172">
        <v>0.6</v>
      </c>
      <c r="D5" s="172">
        <v>0.7</v>
      </c>
      <c r="E5" s="162"/>
      <c r="F5" s="569" t="s">
        <v>303</v>
      </c>
      <c r="G5" s="169">
        <v>1000</v>
      </c>
      <c r="H5" s="169">
        <v>1000</v>
      </c>
      <c r="I5" s="162"/>
    </row>
    <row r="6" spans="1:12" ht="12" customHeight="1" thickBot="1" x14ac:dyDescent="0.35">
      <c r="A6" s="162"/>
      <c r="B6" s="162"/>
      <c r="C6" s="163"/>
      <c r="D6" s="163"/>
      <c r="E6" s="162"/>
      <c r="F6" s="162"/>
      <c r="G6" s="162"/>
      <c r="H6" s="162"/>
      <c r="I6" s="162"/>
    </row>
    <row r="7" spans="1:12" ht="25.95" customHeight="1" thickBot="1" x14ac:dyDescent="0.35">
      <c r="A7" s="162"/>
      <c r="B7" s="569" t="s">
        <v>143</v>
      </c>
      <c r="C7" s="168">
        <v>4</v>
      </c>
      <c r="D7" s="168">
        <v>4</v>
      </c>
      <c r="E7" s="162"/>
      <c r="F7" s="569" t="s">
        <v>304</v>
      </c>
      <c r="G7" s="169">
        <v>350</v>
      </c>
      <c r="H7" s="169">
        <v>400</v>
      </c>
      <c r="I7" s="162"/>
    </row>
    <row r="8" spans="1:12" ht="25.95" customHeight="1" thickBot="1" x14ac:dyDescent="0.35">
      <c r="A8" s="162"/>
      <c r="B8" s="570" t="s">
        <v>144</v>
      </c>
      <c r="C8" s="175">
        <v>0.3</v>
      </c>
      <c r="D8" s="175">
        <v>0.3</v>
      </c>
      <c r="E8" s="162"/>
      <c r="F8" s="573" t="s">
        <v>305</v>
      </c>
      <c r="G8" s="182">
        <f>G5-G7</f>
        <v>650</v>
      </c>
      <c r="H8" s="182">
        <f>H5-H7</f>
        <v>600</v>
      </c>
      <c r="I8" s="162"/>
    </row>
    <row r="9" spans="1:12" ht="25.95" customHeight="1" thickBot="1" x14ac:dyDescent="0.35">
      <c r="A9" s="162"/>
      <c r="B9" s="571" t="s">
        <v>139</v>
      </c>
      <c r="C9" s="176">
        <f>C7*C8</f>
        <v>1.2</v>
      </c>
      <c r="D9" s="176">
        <f>D7*D8</f>
        <v>1.2</v>
      </c>
      <c r="E9" s="162"/>
      <c r="F9" s="574" t="s">
        <v>159</v>
      </c>
      <c r="G9" s="180">
        <v>1.4999999999999999E-2</v>
      </c>
      <c r="H9" s="180">
        <v>1.4999999999999999E-2</v>
      </c>
      <c r="I9" s="162"/>
    </row>
    <row r="10" spans="1:12" ht="25.95" customHeight="1" thickBot="1" x14ac:dyDescent="0.35">
      <c r="A10" s="162"/>
      <c r="B10" s="571" t="s">
        <v>140</v>
      </c>
      <c r="C10" s="165">
        <v>0.03</v>
      </c>
      <c r="D10" s="165">
        <v>0.03</v>
      </c>
      <c r="E10" s="162"/>
      <c r="F10" s="571" t="s">
        <v>160</v>
      </c>
      <c r="G10" s="169">
        <v>200</v>
      </c>
      <c r="H10" s="169">
        <v>200</v>
      </c>
      <c r="I10" s="162"/>
    </row>
    <row r="11" spans="1:12" ht="25.95" customHeight="1" thickBot="1" x14ac:dyDescent="0.35">
      <c r="A11" s="162"/>
      <c r="B11" s="571" t="s">
        <v>141</v>
      </c>
      <c r="C11" s="166">
        <v>20</v>
      </c>
      <c r="D11" s="166">
        <v>30</v>
      </c>
      <c r="E11" s="162"/>
      <c r="F11" s="575" t="s">
        <v>161</v>
      </c>
      <c r="G11" s="181">
        <v>20</v>
      </c>
      <c r="H11" s="181">
        <v>20</v>
      </c>
      <c r="I11" s="162"/>
    </row>
    <row r="12" spans="1:12" ht="25.95" customHeight="1" thickBot="1" x14ac:dyDescent="0.35">
      <c r="A12" s="162"/>
      <c r="B12" s="572" t="s">
        <v>142</v>
      </c>
      <c r="C12" s="167">
        <f>PV(C10/12,C11*12,-C9,0)</f>
        <v>216.37309729496513</v>
      </c>
      <c r="D12" s="167">
        <f>PV(D10/12,D11*12,-D9,0)</f>
        <v>284.62725780513864</v>
      </c>
      <c r="E12" s="162"/>
      <c r="F12" s="605" t="s">
        <v>162</v>
      </c>
      <c r="G12" s="180">
        <v>0.02</v>
      </c>
      <c r="H12" s="180">
        <v>0.02</v>
      </c>
      <c r="I12" s="162"/>
    </row>
    <row r="13" spans="1:12" ht="25.95" customHeight="1" thickBot="1" x14ac:dyDescent="0.35">
      <c r="A13" s="162"/>
      <c r="B13" s="161"/>
      <c r="C13" s="161"/>
      <c r="D13" s="161"/>
      <c r="E13" s="162"/>
      <c r="F13" s="606" t="s">
        <v>163</v>
      </c>
      <c r="G13" s="169">
        <v>450</v>
      </c>
      <c r="H13" s="169">
        <v>450</v>
      </c>
      <c r="I13" s="162"/>
    </row>
    <row r="14" spans="1:12" ht="25.95" customHeight="1" thickBot="1" x14ac:dyDescent="0.35">
      <c r="A14" s="162"/>
      <c r="B14" s="574" t="s">
        <v>156</v>
      </c>
      <c r="C14" s="173">
        <f>C15*(1-C5)</f>
        <v>144.24873152997677</v>
      </c>
      <c r="D14" s="173">
        <f>D15*(1-D5)</f>
        <v>121.98311048791658</v>
      </c>
      <c r="E14" s="162"/>
      <c r="F14" s="606" t="s">
        <v>164</v>
      </c>
      <c r="G14" s="166">
        <v>30</v>
      </c>
      <c r="H14" s="166">
        <v>30</v>
      </c>
      <c r="I14" s="162"/>
    </row>
    <row r="15" spans="1:12" ht="25.95" customHeight="1" thickBot="1" x14ac:dyDescent="0.35">
      <c r="A15" s="162"/>
      <c r="B15" s="576" t="str">
        <f>"以貸款成數試算的房屋總價"</f>
        <v>以貸款成數試算的房屋總價</v>
      </c>
      <c r="C15" s="178">
        <f>C12/C5</f>
        <v>360.62182882494193</v>
      </c>
      <c r="D15" s="178">
        <f>D12/D5</f>
        <v>406.61036829305522</v>
      </c>
      <c r="E15" s="162"/>
      <c r="F15" s="579" t="s">
        <v>165</v>
      </c>
      <c r="G15" s="179">
        <f>PMT(G9/12,G11*12,-G10)+PMT(G12/12,G14*12,-G13)</f>
        <v>2.6283784448635976</v>
      </c>
      <c r="H15" s="179">
        <f>PMT(H9/12,H11*12,-H10)+PMT(G12/12,G14*12,-G13)</f>
        <v>2.6283784448635976</v>
      </c>
      <c r="I15" s="162"/>
    </row>
    <row r="16" spans="1:12" ht="25.95" customHeight="1" thickBot="1" x14ac:dyDescent="0.35">
      <c r="A16" s="162"/>
      <c r="B16" s="571" t="s">
        <v>158</v>
      </c>
      <c r="C16" s="177">
        <v>100</v>
      </c>
      <c r="D16" s="177">
        <v>100</v>
      </c>
      <c r="E16" s="162"/>
      <c r="F16" s="162"/>
      <c r="G16" s="164"/>
      <c r="H16" s="164"/>
      <c r="I16" s="162"/>
    </row>
    <row r="17" spans="1:10" ht="25.95" customHeight="1" thickBot="1" x14ac:dyDescent="0.35">
      <c r="A17" s="162"/>
      <c r="B17" s="572" t="s">
        <v>157</v>
      </c>
      <c r="C17" s="174">
        <f>C12+C14+C16</f>
        <v>460.62182882494187</v>
      </c>
      <c r="D17" s="174">
        <f>D12+D14+D16</f>
        <v>506.61036829305522</v>
      </c>
      <c r="E17" s="162"/>
      <c r="F17" s="574" t="s">
        <v>143</v>
      </c>
      <c r="G17" s="168">
        <v>8</v>
      </c>
      <c r="H17" s="168">
        <v>8</v>
      </c>
      <c r="I17" s="162"/>
    </row>
    <row r="18" spans="1:10" ht="25.95" customHeight="1" thickBot="1" x14ac:dyDescent="0.35">
      <c r="A18" s="162"/>
      <c r="E18" s="162"/>
      <c r="F18" s="572" t="s">
        <v>144</v>
      </c>
      <c r="G18" s="183">
        <f>G15/G17</f>
        <v>0.3285473056079497</v>
      </c>
      <c r="H18" s="183">
        <f>H15/H17</f>
        <v>0.3285473056079497</v>
      </c>
      <c r="I18" s="162"/>
    </row>
    <row r="19" spans="1:10" ht="25.95" customHeight="1" thickBot="1" x14ac:dyDescent="0.35">
      <c r="A19" s="162"/>
      <c r="E19" s="162"/>
      <c r="F19" s="498"/>
      <c r="G19" s="498"/>
      <c r="H19" s="498"/>
      <c r="I19" s="162"/>
      <c r="J19" s="160"/>
    </row>
    <row r="20" spans="1:10" ht="27.75" customHeight="1" thickBot="1" x14ac:dyDescent="0.35">
      <c r="A20" s="162"/>
      <c r="E20" s="162"/>
      <c r="I20" s="162"/>
      <c r="J20" s="160"/>
    </row>
    <row r="21" spans="1:10" ht="27.75" customHeight="1" thickBot="1" x14ac:dyDescent="0.35">
      <c r="A21" s="162"/>
      <c r="B21" s="677" t="s">
        <v>346</v>
      </c>
      <c r="C21" s="499"/>
      <c r="D21" s="499"/>
      <c r="E21" s="162"/>
      <c r="F21" s="158"/>
      <c r="G21" s="158"/>
      <c r="H21" s="499"/>
      <c r="I21" s="162"/>
      <c r="J21" s="160"/>
    </row>
    <row r="22" spans="1:10" ht="27.75" customHeight="1" thickBot="1" x14ac:dyDescent="0.35">
      <c r="A22" s="162"/>
      <c r="B22" s="567" t="s">
        <v>302</v>
      </c>
      <c r="C22" s="568"/>
      <c r="D22" s="568"/>
      <c r="E22" s="162"/>
      <c r="F22" s="580" t="s">
        <v>299</v>
      </c>
      <c r="G22" s="158"/>
      <c r="H22" s="499"/>
      <c r="I22" s="162"/>
      <c r="J22" s="160"/>
    </row>
    <row r="23" spans="1:10" ht="25.05" customHeight="1" thickBot="1" x14ac:dyDescent="0.35">
      <c r="A23" s="162"/>
      <c r="B23" s="258"/>
      <c r="C23" s="259" t="s">
        <v>151</v>
      </c>
      <c r="D23" s="259" t="s">
        <v>152</v>
      </c>
      <c r="E23" s="162"/>
      <c r="F23" s="582" t="s">
        <v>145</v>
      </c>
      <c r="G23" s="180">
        <v>0.02</v>
      </c>
      <c r="H23" s="499"/>
      <c r="I23" s="162"/>
      <c r="J23" s="160"/>
    </row>
    <row r="24" spans="1:10" ht="25.05" customHeight="1" thickBot="1" x14ac:dyDescent="0.35">
      <c r="A24" s="162"/>
      <c r="B24" s="569" t="s">
        <v>303</v>
      </c>
      <c r="C24" s="169">
        <v>1000</v>
      </c>
      <c r="D24" s="169">
        <v>1000</v>
      </c>
      <c r="E24" s="162"/>
      <c r="F24" s="583" t="s">
        <v>146</v>
      </c>
      <c r="G24" s="185">
        <v>30</v>
      </c>
      <c r="H24" s="499"/>
      <c r="I24" s="162"/>
      <c r="J24" s="160"/>
    </row>
    <row r="25" spans="1:10" ht="25.05" customHeight="1" thickBot="1" x14ac:dyDescent="0.35">
      <c r="A25" s="162"/>
      <c r="B25" s="581" t="s">
        <v>306</v>
      </c>
      <c r="C25" s="476">
        <v>200</v>
      </c>
      <c r="D25" s="476">
        <v>100</v>
      </c>
      <c r="E25" s="162"/>
      <c r="F25" s="583" t="s">
        <v>147</v>
      </c>
      <c r="G25" s="170">
        <v>1000</v>
      </c>
      <c r="H25" s="499"/>
      <c r="I25" s="162"/>
      <c r="J25" s="160"/>
    </row>
    <row r="26" spans="1:10" ht="25.05" customHeight="1" thickBot="1" x14ac:dyDescent="0.35">
      <c r="A26" s="162"/>
      <c r="B26" s="162"/>
      <c r="C26" s="566" t="b">
        <v>1</v>
      </c>
      <c r="D26" s="566" t="b">
        <v>1</v>
      </c>
      <c r="E26" s="162"/>
      <c r="F26" s="584" t="s">
        <v>148</v>
      </c>
      <c r="G26" s="186">
        <f>PMT(G22/12,G23*12,-G24*10000,,G25)</f>
        <v>1250000</v>
      </c>
      <c r="H26" s="162"/>
      <c r="I26" s="162"/>
      <c r="J26" s="160"/>
    </row>
    <row r="27" spans="1:10" ht="25.05" customHeight="1" thickBot="1" x14ac:dyDescent="0.35">
      <c r="A27" s="162"/>
      <c r="B27" s="569" t="s">
        <v>304</v>
      </c>
      <c r="C27" s="169">
        <v>300</v>
      </c>
      <c r="D27" s="169">
        <v>400</v>
      </c>
      <c r="E27" s="162"/>
      <c r="F27" s="162"/>
      <c r="G27" s="162"/>
      <c r="H27" s="162"/>
      <c r="I27" s="162"/>
      <c r="J27" s="160"/>
    </row>
    <row r="28" spans="1:10" ht="25.05" customHeight="1" thickBot="1" x14ac:dyDescent="0.35">
      <c r="A28" s="162"/>
      <c r="C28" s="593" t="str">
        <f>IF(C27+C29-(C24+C25)&lt;0,"自備款缺口 "&amp;(C24+C25)-(C27+C29)&amp;"萬","")</f>
        <v/>
      </c>
      <c r="D28" s="593" t="str">
        <f>IF(D27+D29-(D24+D25)&lt;0,"自備款缺口 "&amp;(D24+D25)-(D27+D29)&amp;"萬","")</f>
        <v/>
      </c>
      <c r="E28" s="162"/>
      <c r="F28" s="162"/>
      <c r="G28" s="162"/>
      <c r="H28" s="162"/>
      <c r="I28" s="162"/>
      <c r="J28" s="160"/>
    </row>
    <row r="29" spans="1:10" ht="25.05" customHeight="1" thickBot="1" x14ac:dyDescent="0.35">
      <c r="A29" s="184"/>
      <c r="B29" s="573" t="s">
        <v>335</v>
      </c>
      <c r="C29" s="182">
        <f>IF(C26=TRUE,C24-C27+C25,C24-C27)</f>
        <v>900</v>
      </c>
      <c r="D29" s="182">
        <f>IF(D26=TRUE,D24-D27+D25,D24-D27)</f>
        <v>700</v>
      </c>
      <c r="E29" s="184"/>
      <c r="F29" s="585" t="s">
        <v>334</v>
      </c>
      <c r="G29" s="194">
        <v>78</v>
      </c>
      <c r="H29" s="188"/>
      <c r="I29" s="161"/>
    </row>
    <row r="30" spans="1:10" ht="25.05" customHeight="1" thickBot="1" x14ac:dyDescent="0.35">
      <c r="A30" s="159"/>
      <c r="B30" s="574" t="s">
        <v>159</v>
      </c>
      <c r="C30" s="180">
        <v>1.4999999999999999E-2</v>
      </c>
      <c r="D30" s="180">
        <v>1.4999999999999999E-2</v>
      </c>
      <c r="E30" s="159"/>
      <c r="F30" s="586" t="str">
        <f>"第"&amp;G29&amp;"期本金"</f>
        <v>第78期本金</v>
      </c>
      <c r="G30" s="195">
        <f>PPMT(G23/12,G29,G24*12,-G25*10000,0)</f>
        <v>23071.88747432693</v>
      </c>
      <c r="H30" s="160"/>
    </row>
    <row r="31" spans="1:10" ht="25.05" customHeight="1" thickBot="1" x14ac:dyDescent="0.35">
      <c r="A31" s="159"/>
      <c r="B31" s="571" t="s">
        <v>160</v>
      </c>
      <c r="C31" s="169">
        <v>200</v>
      </c>
      <c r="D31" s="169">
        <v>200</v>
      </c>
      <c r="E31" s="159"/>
      <c r="F31" s="587" t="str">
        <f>"第"&amp;G29&amp;"期利息"</f>
        <v>第78期利息</v>
      </c>
      <c r="G31" s="196">
        <f>IPMT(G23/12,G29,G24*12,-G25*10000,0)</f>
        <v>13890.059794555124</v>
      </c>
      <c r="H31" s="160"/>
    </row>
    <row r="32" spans="1:10" ht="25.05" customHeight="1" thickBot="1" x14ac:dyDescent="0.35">
      <c r="A32" s="159"/>
      <c r="B32" s="575" t="s">
        <v>161</v>
      </c>
      <c r="C32" s="181">
        <v>20</v>
      </c>
      <c r="D32" s="181">
        <v>20</v>
      </c>
      <c r="F32" s="189"/>
      <c r="G32" s="189"/>
      <c r="H32" s="187"/>
    </row>
    <row r="33" spans="1:9" ht="25.05" customHeight="1" thickBot="1" x14ac:dyDescent="0.35">
      <c r="A33" s="159"/>
      <c r="B33" s="500" t="s">
        <v>162</v>
      </c>
      <c r="C33" s="180">
        <v>0.02</v>
      </c>
      <c r="D33" s="180">
        <v>0.02</v>
      </c>
      <c r="E33" s="159"/>
      <c r="F33" s="190" t="s">
        <v>149</v>
      </c>
      <c r="G33" s="192">
        <v>1</v>
      </c>
      <c r="H33" s="171"/>
    </row>
    <row r="34" spans="1:9" ht="25.05" customHeight="1" thickBot="1" x14ac:dyDescent="0.35">
      <c r="B34" s="501" t="s">
        <v>163</v>
      </c>
      <c r="C34" s="169">
        <v>450</v>
      </c>
      <c r="D34" s="169">
        <v>450</v>
      </c>
      <c r="E34" s="159"/>
      <c r="F34" s="191" t="s">
        <v>150</v>
      </c>
      <c r="G34" s="193">
        <v>36</v>
      </c>
      <c r="H34" s="171"/>
    </row>
    <row r="35" spans="1:9" ht="25.05" customHeight="1" thickBot="1" x14ac:dyDescent="0.35">
      <c r="B35" s="501" t="s">
        <v>164</v>
      </c>
      <c r="C35" s="166">
        <v>30</v>
      </c>
      <c r="D35" s="166">
        <v>30</v>
      </c>
      <c r="F35" s="171"/>
      <c r="G35" s="171"/>
      <c r="H35" s="171"/>
    </row>
    <row r="36" spans="1:9" ht="25.05" customHeight="1" thickBot="1" x14ac:dyDescent="0.35">
      <c r="B36" s="577" t="s">
        <v>165</v>
      </c>
      <c r="C36" s="179">
        <f>PMT(C30/12,C32*12,-C31)+PMT(C33/12,C35*12,-C34)</f>
        <v>2.6283784448635976</v>
      </c>
      <c r="D36" s="179">
        <f>PMT(D30/12,D32*12,-D31)+PMT(C33/12,C35*12,-C34)</f>
        <v>2.6283784448635976</v>
      </c>
      <c r="E36" s="159"/>
      <c r="F36" s="588" t="str">
        <f>"第"&amp;G33&amp;"期開始，到第"&amp;G34&amp;"期結束：累計本金"</f>
        <v>第1期開始，到第36期結束：累計本金</v>
      </c>
      <c r="G36" s="589"/>
      <c r="H36" s="197">
        <f>-CUMPRINC(G23/12,G24*12,G25*10000,G33,G34,0)</f>
        <v>752348.26361824607</v>
      </c>
      <c r="I36" s="160"/>
    </row>
    <row r="37" spans="1:9" ht="25.05" customHeight="1" thickBot="1" x14ac:dyDescent="0.35">
      <c r="B37" s="162"/>
      <c r="C37" s="164"/>
      <c r="D37" s="164"/>
      <c r="E37" s="159"/>
      <c r="F37" s="590" t="str">
        <f>"第"&amp;G33&amp;"期開始，到第"&amp;G34&amp;"期結束：累計利息"</f>
        <v>第1期開始，到第36期結束：累計利息</v>
      </c>
      <c r="G37" s="591"/>
      <c r="H37" s="198">
        <f>-CUMIPMT(G23/12,G24*12,G25*10000,G33,G34,0)</f>
        <v>578281.83806150791</v>
      </c>
      <c r="I37" s="160"/>
    </row>
    <row r="38" spans="1:9" ht="25.05" customHeight="1" thickBot="1" x14ac:dyDescent="0.35">
      <c r="B38" s="569" t="s">
        <v>143</v>
      </c>
      <c r="C38" s="168">
        <v>8</v>
      </c>
      <c r="D38" s="168">
        <v>8</v>
      </c>
      <c r="F38" s="161"/>
      <c r="G38" s="161"/>
      <c r="H38" s="161"/>
    </row>
    <row r="39" spans="1:9" ht="28.05" customHeight="1" thickBot="1" x14ac:dyDescent="0.35">
      <c r="B39" s="578" t="s">
        <v>144</v>
      </c>
      <c r="C39" s="183">
        <f>C36/C38</f>
        <v>0.3285473056079497</v>
      </c>
      <c r="D39" s="183">
        <f>D36/D38</f>
        <v>0.3285473056079497</v>
      </c>
    </row>
    <row r="40" spans="1:9" ht="28.05" customHeight="1" thickBot="1" x14ac:dyDescent="0.35">
      <c r="B40" s="592"/>
    </row>
    <row r="41" spans="1:9" ht="28.05" customHeight="1" thickBot="1" x14ac:dyDescent="0.35"/>
    <row r="42" spans="1:9" ht="15.6" x14ac:dyDescent="0.3"/>
  </sheetData>
  <phoneticPr fontId="52" type="noConversion"/>
  <conditionalFormatting sqref="G18:H19">
    <cfRule type="expression" dxfId="3" priority="6">
      <formula>G$18&gt;=33%</formula>
    </cfRule>
  </conditionalFormatting>
  <conditionalFormatting sqref="C8:D8">
    <cfRule type="expression" dxfId="2" priority="5">
      <formula>C$8&gt;33%</formula>
    </cfRule>
  </conditionalFormatting>
  <conditionalFormatting sqref="G34">
    <cfRule type="expression" dxfId="1" priority="8">
      <formula>$G$34&gt;$G$24*12</formula>
    </cfRule>
  </conditionalFormatting>
  <pageMargins left="0.39370078740157483" right="0.39370078740157483" top="0.39370078740157483" bottom="0.74803149606299213" header="0.31496062992125984" footer="0.31496062992125984"/>
  <pageSetup paperSize="9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25</xdr:row>
                    <xdr:rowOff>45720</xdr:rowOff>
                  </from>
                  <to>
                    <xdr:col>3</xdr:col>
                    <xdr:colOff>15240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327660</xdr:colOff>
                    <xdr:row>25</xdr:row>
                    <xdr:rowOff>22860</xdr:rowOff>
                  </from>
                  <to>
                    <xdr:col>4</xdr:col>
                    <xdr:colOff>53340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4D49-680A-477A-8877-10918462ED91}">
  <dimension ref="A1:P33"/>
  <sheetViews>
    <sheetView zoomScale="80" zoomScaleNormal="80" workbookViewId="0">
      <selection activeCell="C5" sqref="C5"/>
    </sheetView>
  </sheetViews>
  <sheetFormatPr defaultColWidth="6.75" defaultRowHeight="16.2" thickBottom="1" x14ac:dyDescent="0.35"/>
  <cols>
    <col min="1" max="1" width="1.1640625" style="199" customWidth="1"/>
    <col min="2" max="2" width="18.58203125" style="199" customWidth="1"/>
    <col min="3" max="3" width="10.58203125" style="199" customWidth="1"/>
    <col min="4" max="4" width="5.58203125" style="199" customWidth="1"/>
    <col min="5" max="5" width="18.58203125" style="199" customWidth="1"/>
    <col min="6" max="6" width="10.58203125" style="199" customWidth="1"/>
    <col min="7" max="7" width="5.58203125" style="199" customWidth="1"/>
    <col min="8" max="8" width="18.58203125" style="199" customWidth="1"/>
    <col min="9" max="9" width="10.58203125" style="199" customWidth="1"/>
    <col min="10" max="10" width="5.58203125" style="199" customWidth="1"/>
    <col min="11" max="11" width="18.58203125" style="199" customWidth="1"/>
    <col min="12" max="12" width="10.58203125" style="199" customWidth="1"/>
    <col min="13" max="13" width="5.58203125" style="199" customWidth="1"/>
    <col min="14" max="14" width="18.58203125" style="199" customWidth="1"/>
    <col min="15" max="15" width="10.58203125" style="199" customWidth="1"/>
    <col min="16" max="16" width="5.58203125" style="199" customWidth="1"/>
    <col min="17" max="253" width="6.75" style="199"/>
    <col min="254" max="254" width="3.58203125" style="199" customWidth="1"/>
    <col min="255" max="255" width="16.33203125" style="199" customWidth="1"/>
    <col min="256" max="256" width="10.75" style="199" customWidth="1"/>
    <col min="257" max="257" width="4.25" style="199" customWidth="1"/>
    <col min="258" max="258" width="16.33203125" style="199" customWidth="1"/>
    <col min="259" max="259" width="10.58203125" style="199" customWidth="1"/>
    <col min="260" max="260" width="4.25" style="199" customWidth="1"/>
    <col min="261" max="261" width="16.33203125" style="199" customWidth="1"/>
    <col min="262" max="262" width="10.58203125" style="199" customWidth="1"/>
    <col min="263" max="263" width="4.25" style="199" customWidth="1"/>
    <col min="264" max="264" width="16.33203125" style="199" customWidth="1"/>
    <col min="265" max="265" width="10.58203125" style="199" customWidth="1"/>
    <col min="266" max="509" width="6.75" style="199"/>
    <col min="510" max="510" width="3.58203125" style="199" customWidth="1"/>
    <col min="511" max="511" width="16.33203125" style="199" customWidth="1"/>
    <col min="512" max="512" width="10.75" style="199" customWidth="1"/>
    <col min="513" max="513" width="4.25" style="199" customWidth="1"/>
    <col min="514" max="514" width="16.33203125" style="199" customWidth="1"/>
    <col min="515" max="515" width="10.58203125" style="199" customWidth="1"/>
    <col min="516" max="516" width="4.25" style="199" customWidth="1"/>
    <col min="517" max="517" width="16.33203125" style="199" customWidth="1"/>
    <col min="518" max="518" width="10.58203125" style="199" customWidth="1"/>
    <col min="519" max="519" width="4.25" style="199" customWidth="1"/>
    <col min="520" max="520" width="16.33203125" style="199" customWidth="1"/>
    <col min="521" max="521" width="10.58203125" style="199" customWidth="1"/>
    <col min="522" max="765" width="6.75" style="199"/>
    <col min="766" max="766" width="3.58203125" style="199" customWidth="1"/>
    <col min="767" max="767" width="16.33203125" style="199" customWidth="1"/>
    <col min="768" max="768" width="10.75" style="199" customWidth="1"/>
    <col min="769" max="769" width="4.25" style="199" customWidth="1"/>
    <col min="770" max="770" width="16.33203125" style="199" customWidth="1"/>
    <col min="771" max="771" width="10.58203125" style="199" customWidth="1"/>
    <col min="772" max="772" width="4.25" style="199" customWidth="1"/>
    <col min="773" max="773" width="16.33203125" style="199" customWidth="1"/>
    <col min="774" max="774" width="10.58203125" style="199" customWidth="1"/>
    <col min="775" max="775" width="4.25" style="199" customWidth="1"/>
    <col min="776" max="776" width="16.33203125" style="199" customWidth="1"/>
    <col min="777" max="777" width="10.58203125" style="199" customWidth="1"/>
    <col min="778" max="1021" width="6.75" style="199"/>
    <col min="1022" max="1022" width="3.58203125" style="199" customWidth="1"/>
    <col min="1023" max="1023" width="16.33203125" style="199" customWidth="1"/>
    <col min="1024" max="1024" width="10.75" style="199" customWidth="1"/>
    <col min="1025" max="1025" width="4.25" style="199" customWidth="1"/>
    <col min="1026" max="1026" width="16.33203125" style="199" customWidth="1"/>
    <col min="1027" max="1027" width="10.58203125" style="199" customWidth="1"/>
    <col min="1028" max="1028" width="4.25" style="199" customWidth="1"/>
    <col min="1029" max="1029" width="16.33203125" style="199" customWidth="1"/>
    <col min="1030" max="1030" width="10.58203125" style="199" customWidth="1"/>
    <col min="1031" max="1031" width="4.25" style="199" customWidth="1"/>
    <col min="1032" max="1032" width="16.33203125" style="199" customWidth="1"/>
    <col min="1033" max="1033" width="10.58203125" style="199" customWidth="1"/>
    <col min="1034" max="1277" width="6.75" style="199"/>
    <col min="1278" max="1278" width="3.58203125" style="199" customWidth="1"/>
    <col min="1279" max="1279" width="16.33203125" style="199" customWidth="1"/>
    <col min="1280" max="1280" width="10.75" style="199" customWidth="1"/>
    <col min="1281" max="1281" width="4.25" style="199" customWidth="1"/>
    <col min="1282" max="1282" width="16.33203125" style="199" customWidth="1"/>
    <col min="1283" max="1283" width="10.58203125" style="199" customWidth="1"/>
    <col min="1284" max="1284" width="4.25" style="199" customWidth="1"/>
    <col min="1285" max="1285" width="16.33203125" style="199" customWidth="1"/>
    <col min="1286" max="1286" width="10.58203125" style="199" customWidth="1"/>
    <col min="1287" max="1287" width="4.25" style="199" customWidth="1"/>
    <col min="1288" max="1288" width="16.33203125" style="199" customWidth="1"/>
    <col min="1289" max="1289" width="10.58203125" style="199" customWidth="1"/>
    <col min="1290" max="1533" width="6.75" style="199"/>
    <col min="1534" max="1534" width="3.58203125" style="199" customWidth="1"/>
    <col min="1535" max="1535" width="16.33203125" style="199" customWidth="1"/>
    <col min="1536" max="1536" width="10.75" style="199" customWidth="1"/>
    <col min="1537" max="1537" width="4.25" style="199" customWidth="1"/>
    <col min="1538" max="1538" width="16.33203125" style="199" customWidth="1"/>
    <col min="1539" max="1539" width="10.58203125" style="199" customWidth="1"/>
    <col min="1540" max="1540" width="4.25" style="199" customWidth="1"/>
    <col min="1541" max="1541" width="16.33203125" style="199" customWidth="1"/>
    <col min="1542" max="1542" width="10.58203125" style="199" customWidth="1"/>
    <col min="1543" max="1543" width="4.25" style="199" customWidth="1"/>
    <col min="1544" max="1544" width="16.33203125" style="199" customWidth="1"/>
    <col min="1545" max="1545" width="10.58203125" style="199" customWidth="1"/>
    <col min="1546" max="1789" width="6.75" style="199"/>
    <col min="1790" max="1790" width="3.58203125" style="199" customWidth="1"/>
    <col min="1791" max="1791" width="16.33203125" style="199" customWidth="1"/>
    <col min="1792" max="1792" width="10.75" style="199" customWidth="1"/>
    <col min="1793" max="1793" width="4.25" style="199" customWidth="1"/>
    <col min="1794" max="1794" width="16.33203125" style="199" customWidth="1"/>
    <col min="1795" max="1795" width="10.58203125" style="199" customWidth="1"/>
    <col min="1796" max="1796" width="4.25" style="199" customWidth="1"/>
    <col min="1797" max="1797" width="16.33203125" style="199" customWidth="1"/>
    <col min="1798" max="1798" width="10.58203125" style="199" customWidth="1"/>
    <col min="1799" max="1799" width="4.25" style="199" customWidth="1"/>
    <col min="1800" max="1800" width="16.33203125" style="199" customWidth="1"/>
    <col min="1801" max="1801" width="10.58203125" style="199" customWidth="1"/>
    <col min="1802" max="2045" width="6.75" style="199"/>
    <col min="2046" max="2046" width="3.58203125" style="199" customWidth="1"/>
    <col min="2047" max="2047" width="16.33203125" style="199" customWidth="1"/>
    <col min="2048" max="2048" width="10.75" style="199" customWidth="1"/>
    <col min="2049" max="2049" width="4.25" style="199" customWidth="1"/>
    <col min="2050" max="2050" width="16.33203125" style="199" customWidth="1"/>
    <col min="2051" max="2051" width="10.58203125" style="199" customWidth="1"/>
    <col min="2052" max="2052" width="4.25" style="199" customWidth="1"/>
    <col min="2053" max="2053" width="16.33203125" style="199" customWidth="1"/>
    <col min="2054" max="2054" width="10.58203125" style="199" customWidth="1"/>
    <col min="2055" max="2055" width="4.25" style="199" customWidth="1"/>
    <col min="2056" max="2056" width="16.33203125" style="199" customWidth="1"/>
    <col min="2057" max="2057" width="10.58203125" style="199" customWidth="1"/>
    <col min="2058" max="2301" width="6.75" style="199"/>
    <col min="2302" max="2302" width="3.58203125" style="199" customWidth="1"/>
    <col min="2303" max="2303" width="16.33203125" style="199" customWidth="1"/>
    <col min="2304" max="2304" width="10.75" style="199" customWidth="1"/>
    <col min="2305" max="2305" width="4.25" style="199" customWidth="1"/>
    <col min="2306" max="2306" width="16.33203125" style="199" customWidth="1"/>
    <col min="2307" max="2307" width="10.58203125" style="199" customWidth="1"/>
    <col min="2308" max="2308" width="4.25" style="199" customWidth="1"/>
    <col min="2309" max="2309" width="16.33203125" style="199" customWidth="1"/>
    <col min="2310" max="2310" width="10.58203125" style="199" customWidth="1"/>
    <col min="2311" max="2311" width="4.25" style="199" customWidth="1"/>
    <col min="2312" max="2312" width="16.33203125" style="199" customWidth="1"/>
    <col min="2313" max="2313" width="10.58203125" style="199" customWidth="1"/>
    <col min="2314" max="2557" width="6.75" style="199"/>
    <col min="2558" max="2558" width="3.58203125" style="199" customWidth="1"/>
    <col min="2559" max="2559" width="16.33203125" style="199" customWidth="1"/>
    <col min="2560" max="2560" width="10.75" style="199" customWidth="1"/>
    <col min="2561" max="2561" width="4.25" style="199" customWidth="1"/>
    <col min="2562" max="2562" width="16.33203125" style="199" customWidth="1"/>
    <col min="2563" max="2563" width="10.58203125" style="199" customWidth="1"/>
    <col min="2564" max="2564" width="4.25" style="199" customWidth="1"/>
    <col min="2565" max="2565" width="16.33203125" style="199" customWidth="1"/>
    <col min="2566" max="2566" width="10.58203125" style="199" customWidth="1"/>
    <col min="2567" max="2567" width="4.25" style="199" customWidth="1"/>
    <col min="2568" max="2568" width="16.33203125" style="199" customWidth="1"/>
    <col min="2569" max="2569" width="10.58203125" style="199" customWidth="1"/>
    <col min="2570" max="2813" width="6.75" style="199"/>
    <col min="2814" max="2814" width="3.58203125" style="199" customWidth="1"/>
    <col min="2815" max="2815" width="16.33203125" style="199" customWidth="1"/>
    <col min="2816" max="2816" width="10.75" style="199" customWidth="1"/>
    <col min="2817" max="2817" width="4.25" style="199" customWidth="1"/>
    <col min="2818" max="2818" width="16.33203125" style="199" customWidth="1"/>
    <col min="2819" max="2819" width="10.58203125" style="199" customWidth="1"/>
    <col min="2820" max="2820" width="4.25" style="199" customWidth="1"/>
    <col min="2821" max="2821" width="16.33203125" style="199" customWidth="1"/>
    <col min="2822" max="2822" width="10.58203125" style="199" customWidth="1"/>
    <col min="2823" max="2823" width="4.25" style="199" customWidth="1"/>
    <col min="2824" max="2824" width="16.33203125" style="199" customWidth="1"/>
    <col min="2825" max="2825" width="10.58203125" style="199" customWidth="1"/>
    <col min="2826" max="3069" width="6.75" style="199"/>
    <col min="3070" max="3070" width="3.58203125" style="199" customWidth="1"/>
    <col min="3071" max="3071" width="16.33203125" style="199" customWidth="1"/>
    <col min="3072" max="3072" width="10.75" style="199" customWidth="1"/>
    <col min="3073" max="3073" width="4.25" style="199" customWidth="1"/>
    <col min="3074" max="3074" width="16.33203125" style="199" customWidth="1"/>
    <col min="3075" max="3075" width="10.58203125" style="199" customWidth="1"/>
    <col min="3076" max="3076" width="4.25" style="199" customWidth="1"/>
    <col min="3077" max="3077" width="16.33203125" style="199" customWidth="1"/>
    <col min="3078" max="3078" width="10.58203125" style="199" customWidth="1"/>
    <col min="3079" max="3079" width="4.25" style="199" customWidth="1"/>
    <col min="3080" max="3080" width="16.33203125" style="199" customWidth="1"/>
    <col min="3081" max="3081" width="10.58203125" style="199" customWidth="1"/>
    <col min="3082" max="3325" width="6.75" style="199"/>
    <col min="3326" max="3326" width="3.58203125" style="199" customWidth="1"/>
    <col min="3327" max="3327" width="16.33203125" style="199" customWidth="1"/>
    <col min="3328" max="3328" width="10.75" style="199" customWidth="1"/>
    <col min="3329" max="3329" width="4.25" style="199" customWidth="1"/>
    <col min="3330" max="3330" width="16.33203125" style="199" customWidth="1"/>
    <col min="3331" max="3331" width="10.58203125" style="199" customWidth="1"/>
    <col min="3332" max="3332" width="4.25" style="199" customWidth="1"/>
    <col min="3333" max="3333" width="16.33203125" style="199" customWidth="1"/>
    <col min="3334" max="3334" width="10.58203125" style="199" customWidth="1"/>
    <col min="3335" max="3335" width="4.25" style="199" customWidth="1"/>
    <col min="3336" max="3336" width="16.33203125" style="199" customWidth="1"/>
    <col min="3337" max="3337" width="10.58203125" style="199" customWidth="1"/>
    <col min="3338" max="3581" width="6.75" style="199"/>
    <col min="3582" max="3582" width="3.58203125" style="199" customWidth="1"/>
    <col min="3583" max="3583" width="16.33203125" style="199" customWidth="1"/>
    <col min="3584" max="3584" width="10.75" style="199" customWidth="1"/>
    <col min="3585" max="3585" width="4.25" style="199" customWidth="1"/>
    <col min="3586" max="3586" width="16.33203125" style="199" customWidth="1"/>
    <col min="3587" max="3587" width="10.58203125" style="199" customWidth="1"/>
    <col min="3588" max="3588" width="4.25" style="199" customWidth="1"/>
    <col min="3589" max="3589" width="16.33203125" style="199" customWidth="1"/>
    <col min="3590" max="3590" width="10.58203125" style="199" customWidth="1"/>
    <col min="3591" max="3591" width="4.25" style="199" customWidth="1"/>
    <col min="3592" max="3592" width="16.33203125" style="199" customWidth="1"/>
    <col min="3593" max="3593" width="10.58203125" style="199" customWidth="1"/>
    <col min="3594" max="3837" width="6.75" style="199"/>
    <col min="3838" max="3838" width="3.58203125" style="199" customWidth="1"/>
    <col min="3839" max="3839" width="16.33203125" style="199" customWidth="1"/>
    <col min="3840" max="3840" width="10.75" style="199" customWidth="1"/>
    <col min="3841" max="3841" width="4.25" style="199" customWidth="1"/>
    <col min="3842" max="3842" width="16.33203125" style="199" customWidth="1"/>
    <col min="3843" max="3843" width="10.58203125" style="199" customWidth="1"/>
    <col min="3844" max="3844" width="4.25" style="199" customWidth="1"/>
    <col min="3845" max="3845" width="16.33203125" style="199" customWidth="1"/>
    <col min="3846" max="3846" width="10.58203125" style="199" customWidth="1"/>
    <col min="3847" max="3847" width="4.25" style="199" customWidth="1"/>
    <col min="3848" max="3848" width="16.33203125" style="199" customWidth="1"/>
    <col min="3849" max="3849" width="10.58203125" style="199" customWidth="1"/>
    <col min="3850" max="4093" width="6.75" style="199"/>
    <col min="4094" max="4094" width="3.58203125" style="199" customWidth="1"/>
    <col min="4095" max="4095" width="16.33203125" style="199" customWidth="1"/>
    <col min="4096" max="4096" width="10.75" style="199" customWidth="1"/>
    <col min="4097" max="4097" width="4.25" style="199" customWidth="1"/>
    <col min="4098" max="4098" width="16.33203125" style="199" customWidth="1"/>
    <col min="4099" max="4099" width="10.58203125" style="199" customWidth="1"/>
    <col min="4100" max="4100" width="4.25" style="199" customWidth="1"/>
    <col min="4101" max="4101" width="16.33203125" style="199" customWidth="1"/>
    <col min="4102" max="4102" width="10.58203125" style="199" customWidth="1"/>
    <col min="4103" max="4103" width="4.25" style="199" customWidth="1"/>
    <col min="4104" max="4104" width="16.33203125" style="199" customWidth="1"/>
    <col min="4105" max="4105" width="10.58203125" style="199" customWidth="1"/>
    <col min="4106" max="4349" width="6.75" style="199"/>
    <col min="4350" max="4350" width="3.58203125" style="199" customWidth="1"/>
    <col min="4351" max="4351" width="16.33203125" style="199" customWidth="1"/>
    <col min="4352" max="4352" width="10.75" style="199" customWidth="1"/>
    <col min="4353" max="4353" width="4.25" style="199" customWidth="1"/>
    <col min="4354" max="4354" width="16.33203125" style="199" customWidth="1"/>
    <col min="4355" max="4355" width="10.58203125" style="199" customWidth="1"/>
    <col min="4356" max="4356" width="4.25" style="199" customWidth="1"/>
    <col min="4357" max="4357" width="16.33203125" style="199" customWidth="1"/>
    <col min="4358" max="4358" width="10.58203125" style="199" customWidth="1"/>
    <col min="4359" max="4359" width="4.25" style="199" customWidth="1"/>
    <col min="4360" max="4360" width="16.33203125" style="199" customWidth="1"/>
    <col min="4361" max="4361" width="10.58203125" style="199" customWidth="1"/>
    <col min="4362" max="4605" width="6.75" style="199"/>
    <col min="4606" max="4606" width="3.58203125" style="199" customWidth="1"/>
    <col min="4607" max="4607" width="16.33203125" style="199" customWidth="1"/>
    <col min="4608" max="4608" width="10.75" style="199" customWidth="1"/>
    <col min="4609" max="4609" width="4.25" style="199" customWidth="1"/>
    <col min="4610" max="4610" width="16.33203125" style="199" customWidth="1"/>
    <col min="4611" max="4611" width="10.58203125" style="199" customWidth="1"/>
    <col min="4612" max="4612" width="4.25" style="199" customWidth="1"/>
    <col min="4613" max="4613" width="16.33203125" style="199" customWidth="1"/>
    <col min="4614" max="4614" width="10.58203125" style="199" customWidth="1"/>
    <col min="4615" max="4615" width="4.25" style="199" customWidth="1"/>
    <col min="4616" max="4616" width="16.33203125" style="199" customWidth="1"/>
    <col min="4617" max="4617" width="10.58203125" style="199" customWidth="1"/>
    <col min="4618" max="4861" width="6.75" style="199"/>
    <col min="4862" max="4862" width="3.58203125" style="199" customWidth="1"/>
    <col min="4863" max="4863" width="16.33203125" style="199" customWidth="1"/>
    <col min="4864" max="4864" width="10.75" style="199" customWidth="1"/>
    <col min="4865" max="4865" width="4.25" style="199" customWidth="1"/>
    <col min="4866" max="4866" width="16.33203125" style="199" customWidth="1"/>
    <col min="4867" max="4867" width="10.58203125" style="199" customWidth="1"/>
    <col min="4868" max="4868" width="4.25" style="199" customWidth="1"/>
    <col min="4869" max="4869" width="16.33203125" style="199" customWidth="1"/>
    <col min="4870" max="4870" width="10.58203125" style="199" customWidth="1"/>
    <col min="4871" max="4871" width="4.25" style="199" customWidth="1"/>
    <col min="4872" max="4872" width="16.33203125" style="199" customWidth="1"/>
    <col min="4873" max="4873" width="10.58203125" style="199" customWidth="1"/>
    <col min="4874" max="5117" width="6.75" style="199"/>
    <col min="5118" max="5118" width="3.58203125" style="199" customWidth="1"/>
    <col min="5119" max="5119" width="16.33203125" style="199" customWidth="1"/>
    <col min="5120" max="5120" width="10.75" style="199" customWidth="1"/>
    <col min="5121" max="5121" width="4.25" style="199" customWidth="1"/>
    <col min="5122" max="5122" width="16.33203125" style="199" customWidth="1"/>
    <col min="5123" max="5123" width="10.58203125" style="199" customWidth="1"/>
    <col min="5124" max="5124" width="4.25" style="199" customWidth="1"/>
    <col min="5125" max="5125" width="16.33203125" style="199" customWidth="1"/>
    <col min="5126" max="5126" width="10.58203125" style="199" customWidth="1"/>
    <col min="5127" max="5127" width="4.25" style="199" customWidth="1"/>
    <col min="5128" max="5128" width="16.33203125" style="199" customWidth="1"/>
    <col min="5129" max="5129" width="10.58203125" style="199" customWidth="1"/>
    <col min="5130" max="5373" width="6.75" style="199"/>
    <col min="5374" max="5374" width="3.58203125" style="199" customWidth="1"/>
    <col min="5375" max="5375" width="16.33203125" style="199" customWidth="1"/>
    <col min="5376" max="5376" width="10.75" style="199" customWidth="1"/>
    <col min="5377" max="5377" width="4.25" style="199" customWidth="1"/>
    <col min="5378" max="5378" width="16.33203125" style="199" customWidth="1"/>
    <col min="5379" max="5379" width="10.58203125" style="199" customWidth="1"/>
    <col min="5380" max="5380" width="4.25" style="199" customWidth="1"/>
    <col min="5381" max="5381" width="16.33203125" style="199" customWidth="1"/>
    <col min="5382" max="5382" width="10.58203125" style="199" customWidth="1"/>
    <col min="5383" max="5383" width="4.25" style="199" customWidth="1"/>
    <col min="5384" max="5384" width="16.33203125" style="199" customWidth="1"/>
    <col min="5385" max="5385" width="10.58203125" style="199" customWidth="1"/>
    <col min="5386" max="5629" width="6.75" style="199"/>
    <col min="5630" max="5630" width="3.58203125" style="199" customWidth="1"/>
    <col min="5631" max="5631" width="16.33203125" style="199" customWidth="1"/>
    <col min="5632" max="5632" width="10.75" style="199" customWidth="1"/>
    <col min="5633" max="5633" width="4.25" style="199" customWidth="1"/>
    <col min="5634" max="5634" width="16.33203125" style="199" customWidth="1"/>
    <col min="5635" max="5635" width="10.58203125" style="199" customWidth="1"/>
    <col min="5636" max="5636" width="4.25" style="199" customWidth="1"/>
    <col min="5637" max="5637" width="16.33203125" style="199" customWidth="1"/>
    <col min="5638" max="5638" width="10.58203125" style="199" customWidth="1"/>
    <col min="5639" max="5639" width="4.25" style="199" customWidth="1"/>
    <col min="5640" max="5640" width="16.33203125" style="199" customWidth="1"/>
    <col min="5641" max="5641" width="10.58203125" style="199" customWidth="1"/>
    <col min="5642" max="5885" width="6.75" style="199"/>
    <col min="5886" max="5886" width="3.58203125" style="199" customWidth="1"/>
    <col min="5887" max="5887" width="16.33203125" style="199" customWidth="1"/>
    <col min="5888" max="5888" width="10.75" style="199" customWidth="1"/>
    <col min="5889" max="5889" width="4.25" style="199" customWidth="1"/>
    <col min="5890" max="5890" width="16.33203125" style="199" customWidth="1"/>
    <col min="5891" max="5891" width="10.58203125" style="199" customWidth="1"/>
    <col min="5892" max="5892" width="4.25" style="199" customWidth="1"/>
    <col min="5893" max="5893" width="16.33203125" style="199" customWidth="1"/>
    <col min="5894" max="5894" width="10.58203125" style="199" customWidth="1"/>
    <col min="5895" max="5895" width="4.25" style="199" customWidth="1"/>
    <col min="5896" max="5896" width="16.33203125" style="199" customWidth="1"/>
    <col min="5897" max="5897" width="10.58203125" style="199" customWidth="1"/>
    <col min="5898" max="6141" width="6.75" style="199"/>
    <col min="6142" max="6142" width="3.58203125" style="199" customWidth="1"/>
    <col min="6143" max="6143" width="16.33203125" style="199" customWidth="1"/>
    <col min="6144" max="6144" width="10.75" style="199" customWidth="1"/>
    <col min="6145" max="6145" width="4.25" style="199" customWidth="1"/>
    <col min="6146" max="6146" width="16.33203125" style="199" customWidth="1"/>
    <col min="6147" max="6147" width="10.58203125" style="199" customWidth="1"/>
    <col min="6148" max="6148" width="4.25" style="199" customWidth="1"/>
    <col min="6149" max="6149" width="16.33203125" style="199" customWidth="1"/>
    <col min="6150" max="6150" width="10.58203125" style="199" customWidth="1"/>
    <col min="6151" max="6151" width="4.25" style="199" customWidth="1"/>
    <col min="6152" max="6152" width="16.33203125" style="199" customWidth="1"/>
    <col min="6153" max="6153" width="10.58203125" style="199" customWidth="1"/>
    <col min="6154" max="6397" width="6.75" style="199"/>
    <col min="6398" max="6398" width="3.58203125" style="199" customWidth="1"/>
    <col min="6399" max="6399" width="16.33203125" style="199" customWidth="1"/>
    <col min="6400" max="6400" width="10.75" style="199" customWidth="1"/>
    <col min="6401" max="6401" width="4.25" style="199" customWidth="1"/>
    <col min="6402" max="6402" width="16.33203125" style="199" customWidth="1"/>
    <col min="6403" max="6403" width="10.58203125" style="199" customWidth="1"/>
    <col min="6404" max="6404" width="4.25" style="199" customWidth="1"/>
    <col min="6405" max="6405" width="16.33203125" style="199" customWidth="1"/>
    <col min="6406" max="6406" width="10.58203125" style="199" customWidth="1"/>
    <col min="6407" max="6407" width="4.25" style="199" customWidth="1"/>
    <col min="6408" max="6408" width="16.33203125" style="199" customWidth="1"/>
    <col min="6409" max="6409" width="10.58203125" style="199" customWidth="1"/>
    <col min="6410" max="6653" width="6.75" style="199"/>
    <col min="6654" max="6654" width="3.58203125" style="199" customWidth="1"/>
    <col min="6655" max="6655" width="16.33203125" style="199" customWidth="1"/>
    <col min="6656" max="6656" width="10.75" style="199" customWidth="1"/>
    <col min="6657" max="6657" width="4.25" style="199" customWidth="1"/>
    <col min="6658" max="6658" width="16.33203125" style="199" customWidth="1"/>
    <col min="6659" max="6659" width="10.58203125" style="199" customWidth="1"/>
    <col min="6660" max="6660" width="4.25" style="199" customWidth="1"/>
    <col min="6661" max="6661" width="16.33203125" style="199" customWidth="1"/>
    <col min="6662" max="6662" width="10.58203125" style="199" customWidth="1"/>
    <col min="6663" max="6663" width="4.25" style="199" customWidth="1"/>
    <col min="6664" max="6664" width="16.33203125" style="199" customWidth="1"/>
    <col min="6665" max="6665" width="10.58203125" style="199" customWidth="1"/>
    <col min="6666" max="6909" width="6.75" style="199"/>
    <col min="6910" max="6910" width="3.58203125" style="199" customWidth="1"/>
    <col min="6911" max="6911" width="16.33203125" style="199" customWidth="1"/>
    <col min="6912" max="6912" width="10.75" style="199" customWidth="1"/>
    <col min="6913" max="6913" width="4.25" style="199" customWidth="1"/>
    <col min="6914" max="6914" width="16.33203125" style="199" customWidth="1"/>
    <col min="6915" max="6915" width="10.58203125" style="199" customWidth="1"/>
    <col min="6916" max="6916" width="4.25" style="199" customWidth="1"/>
    <col min="6917" max="6917" width="16.33203125" style="199" customWidth="1"/>
    <col min="6918" max="6918" width="10.58203125" style="199" customWidth="1"/>
    <col min="6919" max="6919" width="4.25" style="199" customWidth="1"/>
    <col min="6920" max="6920" width="16.33203125" style="199" customWidth="1"/>
    <col min="6921" max="6921" width="10.58203125" style="199" customWidth="1"/>
    <col min="6922" max="7165" width="6.75" style="199"/>
    <col min="7166" max="7166" width="3.58203125" style="199" customWidth="1"/>
    <col min="7167" max="7167" width="16.33203125" style="199" customWidth="1"/>
    <col min="7168" max="7168" width="10.75" style="199" customWidth="1"/>
    <col min="7169" max="7169" width="4.25" style="199" customWidth="1"/>
    <col min="7170" max="7170" width="16.33203125" style="199" customWidth="1"/>
    <col min="7171" max="7171" width="10.58203125" style="199" customWidth="1"/>
    <col min="7172" max="7172" width="4.25" style="199" customWidth="1"/>
    <col min="7173" max="7173" width="16.33203125" style="199" customWidth="1"/>
    <col min="7174" max="7174" width="10.58203125" style="199" customWidth="1"/>
    <col min="7175" max="7175" width="4.25" style="199" customWidth="1"/>
    <col min="7176" max="7176" width="16.33203125" style="199" customWidth="1"/>
    <col min="7177" max="7177" width="10.58203125" style="199" customWidth="1"/>
    <col min="7178" max="7421" width="6.75" style="199"/>
    <col min="7422" max="7422" width="3.58203125" style="199" customWidth="1"/>
    <col min="7423" max="7423" width="16.33203125" style="199" customWidth="1"/>
    <col min="7424" max="7424" width="10.75" style="199" customWidth="1"/>
    <col min="7425" max="7425" width="4.25" style="199" customWidth="1"/>
    <col min="7426" max="7426" width="16.33203125" style="199" customWidth="1"/>
    <col min="7427" max="7427" width="10.58203125" style="199" customWidth="1"/>
    <col min="7428" max="7428" width="4.25" style="199" customWidth="1"/>
    <col min="7429" max="7429" width="16.33203125" style="199" customWidth="1"/>
    <col min="7430" max="7430" width="10.58203125" style="199" customWidth="1"/>
    <col min="7431" max="7431" width="4.25" style="199" customWidth="1"/>
    <col min="7432" max="7432" width="16.33203125" style="199" customWidth="1"/>
    <col min="7433" max="7433" width="10.58203125" style="199" customWidth="1"/>
    <col min="7434" max="7677" width="6.75" style="199"/>
    <col min="7678" max="7678" width="3.58203125" style="199" customWidth="1"/>
    <col min="7679" max="7679" width="16.33203125" style="199" customWidth="1"/>
    <col min="7680" max="7680" width="10.75" style="199" customWidth="1"/>
    <col min="7681" max="7681" width="4.25" style="199" customWidth="1"/>
    <col min="7682" max="7682" width="16.33203125" style="199" customWidth="1"/>
    <col min="7683" max="7683" width="10.58203125" style="199" customWidth="1"/>
    <col min="7684" max="7684" width="4.25" style="199" customWidth="1"/>
    <col min="7685" max="7685" width="16.33203125" style="199" customWidth="1"/>
    <col min="7686" max="7686" width="10.58203125" style="199" customWidth="1"/>
    <col min="7687" max="7687" width="4.25" style="199" customWidth="1"/>
    <col min="7688" max="7688" width="16.33203125" style="199" customWidth="1"/>
    <col min="7689" max="7689" width="10.58203125" style="199" customWidth="1"/>
    <col min="7690" max="7933" width="6.75" style="199"/>
    <col min="7934" max="7934" width="3.58203125" style="199" customWidth="1"/>
    <col min="7935" max="7935" width="16.33203125" style="199" customWidth="1"/>
    <col min="7936" max="7936" width="10.75" style="199" customWidth="1"/>
    <col min="7937" max="7937" width="4.25" style="199" customWidth="1"/>
    <col min="7938" max="7938" width="16.33203125" style="199" customWidth="1"/>
    <col min="7939" max="7939" width="10.58203125" style="199" customWidth="1"/>
    <col min="7940" max="7940" width="4.25" style="199" customWidth="1"/>
    <col min="7941" max="7941" width="16.33203125" style="199" customWidth="1"/>
    <col min="7942" max="7942" width="10.58203125" style="199" customWidth="1"/>
    <col min="7943" max="7943" width="4.25" style="199" customWidth="1"/>
    <col min="7944" max="7944" width="16.33203125" style="199" customWidth="1"/>
    <col min="7945" max="7945" width="10.58203125" style="199" customWidth="1"/>
    <col min="7946" max="8189" width="6.75" style="199"/>
    <col min="8190" max="8190" width="3.58203125" style="199" customWidth="1"/>
    <col min="8191" max="8191" width="16.33203125" style="199" customWidth="1"/>
    <col min="8192" max="8192" width="10.75" style="199" customWidth="1"/>
    <col min="8193" max="8193" width="4.25" style="199" customWidth="1"/>
    <col min="8194" max="8194" width="16.33203125" style="199" customWidth="1"/>
    <col min="8195" max="8195" width="10.58203125" style="199" customWidth="1"/>
    <col min="8196" max="8196" width="4.25" style="199" customWidth="1"/>
    <col min="8197" max="8197" width="16.33203125" style="199" customWidth="1"/>
    <col min="8198" max="8198" width="10.58203125" style="199" customWidth="1"/>
    <col min="8199" max="8199" width="4.25" style="199" customWidth="1"/>
    <col min="8200" max="8200" width="16.33203125" style="199" customWidth="1"/>
    <col min="8201" max="8201" width="10.58203125" style="199" customWidth="1"/>
    <col min="8202" max="8445" width="6.75" style="199"/>
    <col min="8446" max="8446" width="3.58203125" style="199" customWidth="1"/>
    <col min="8447" max="8447" width="16.33203125" style="199" customWidth="1"/>
    <col min="8448" max="8448" width="10.75" style="199" customWidth="1"/>
    <col min="8449" max="8449" width="4.25" style="199" customWidth="1"/>
    <col min="8450" max="8450" width="16.33203125" style="199" customWidth="1"/>
    <col min="8451" max="8451" width="10.58203125" style="199" customWidth="1"/>
    <col min="8452" max="8452" width="4.25" style="199" customWidth="1"/>
    <col min="8453" max="8453" width="16.33203125" style="199" customWidth="1"/>
    <col min="8454" max="8454" width="10.58203125" style="199" customWidth="1"/>
    <col min="8455" max="8455" width="4.25" style="199" customWidth="1"/>
    <col min="8456" max="8456" width="16.33203125" style="199" customWidth="1"/>
    <col min="8457" max="8457" width="10.58203125" style="199" customWidth="1"/>
    <col min="8458" max="8701" width="6.75" style="199"/>
    <col min="8702" max="8702" width="3.58203125" style="199" customWidth="1"/>
    <col min="8703" max="8703" width="16.33203125" style="199" customWidth="1"/>
    <col min="8704" max="8704" width="10.75" style="199" customWidth="1"/>
    <col min="8705" max="8705" width="4.25" style="199" customWidth="1"/>
    <col min="8706" max="8706" width="16.33203125" style="199" customWidth="1"/>
    <col min="8707" max="8707" width="10.58203125" style="199" customWidth="1"/>
    <col min="8708" max="8708" width="4.25" style="199" customWidth="1"/>
    <col min="8709" max="8709" width="16.33203125" style="199" customWidth="1"/>
    <col min="8710" max="8710" width="10.58203125" style="199" customWidth="1"/>
    <col min="8711" max="8711" width="4.25" style="199" customWidth="1"/>
    <col min="8712" max="8712" width="16.33203125" style="199" customWidth="1"/>
    <col min="8713" max="8713" width="10.58203125" style="199" customWidth="1"/>
    <col min="8714" max="8957" width="6.75" style="199"/>
    <col min="8958" max="8958" width="3.58203125" style="199" customWidth="1"/>
    <col min="8959" max="8959" width="16.33203125" style="199" customWidth="1"/>
    <col min="8960" max="8960" width="10.75" style="199" customWidth="1"/>
    <col min="8961" max="8961" width="4.25" style="199" customWidth="1"/>
    <col min="8962" max="8962" width="16.33203125" style="199" customWidth="1"/>
    <col min="8963" max="8963" width="10.58203125" style="199" customWidth="1"/>
    <col min="8964" max="8964" width="4.25" style="199" customWidth="1"/>
    <col min="8965" max="8965" width="16.33203125" style="199" customWidth="1"/>
    <col min="8966" max="8966" width="10.58203125" style="199" customWidth="1"/>
    <col min="8967" max="8967" width="4.25" style="199" customWidth="1"/>
    <col min="8968" max="8968" width="16.33203125" style="199" customWidth="1"/>
    <col min="8969" max="8969" width="10.58203125" style="199" customWidth="1"/>
    <col min="8970" max="9213" width="6.75" style="199"/>
    <col min="9214" max="9214" width="3.58203125" style="199" customWidth="1"/>
    <col min="9215" max="9215" width="16.33203125" style="199" customWidth="1"/>
    <col min="9216" max="9216" width="10.75" style="199" customWidth="1"/>
    <col min="9217" max="9217" width="4.25" style="199" customWidth="1"/>
    <col min="9218" max="9218" width="16.33203125" style="199" customWidth="1"/>
    <col min="9219" max="9219" width="10.58203125" style="199" customWidth="1"/>
    <col min="9220" max="9220" width="4.25" style="199" customWidth="1"/>
    <col min="9221" max="9221" width="16.33203125" style="199" customWidth="1"/>
    <col min="9222" max="9222" width="10.58203125" style="199" customWidth="1"/>
    <col min="9223" max="9223" width="4.25" style="199" customWidth="1"/>
    <col min="9224" max="9224" width="16.33203125" style="199" customWidth="1"/>
    <col min="9225" max="9225" width="10.58203125" style="199" customWidth="1"/>
    <col min="9226" max="9469" width="6.75" style="199"/>
    <col min="9470" max="9470" width="3.58203125" style="199" customWidth="1"/>
    <col min="9471" max="9471" width="16.33203125" style="199" customWidth="1"/>
    <col min="9472" max="9472" width="10.75" style="199" customWidth="1"/>
    <col min="9473" max="9473" width="4.25" style="199" customWidth="1"/>
    <col min="9474" max="9474" width="16.33203125" style="199" customWidth="1"/>
    <col min="9475" max="9475" width="10.58203125" style="199" customWidth="1"/>
    <col min="9476" max="9476" width="4.25" style="199" customWidth="1"/>
    <col min="9477" max="9477" width="16.33203125" style="199" customWidth="1"/>
    <col min="9478" max="9478" width="10.58203125" style="199" customWidth="1"/>
    <col min="9479" max="9479" width="4.25" style="199" customWidth="1"/>
    <col min="9480" max="9480" width="16.33203125" style="199" customWidth="1"/>
    <col min="9481" max="9481" width="10.58203125" style="199" customWidth="1"/>
    <col min="9482" max="9725" width="6.75" style="199"/>
    <col min="9726" max="9726" width="3.58203125" style="199" customWidth="1"/>
    <col min="9727" max="9727" width="16.33203125" style="199" customWidth="1"/>
    <col min="9728" max="9728" width="10.75" style="199" customWidth="1"/>
    <col min="9729" max="9729" width="4.25" style="199" customWidth="1"/>
    <col min="9730" max="9730" width="16.33203125" style="199" customWidth="1"/>
    <col min="9731" max="9731" width="10.58203125" style="199" customWidth="1"/>
    <col min="9732" max="9732" width="4.25" style="199" customWidth="1"/>
    <col min="9733" max="9733" width="16.33203125" style="199" customWidth="1"/>
    <col min="9734" max="9734" width="10.58203125" style="199" customWidth="1"/>
    <col min="9735" max="9735" width="4.25" style="199" customWidth="1"/>
    <col min="9736" max="9736" width="16.33203125" style="199" customWidth="1"/>
    <col min="9737" max="9737" width="10.58203125" style="199" customWidth="1"/>
    <col min="9738" max="9981" width="6.75" style="199"/>
    <col min="9982" max="9982" width="3.58203125" style="199" customWidth="1"/>
    <col min="9983" max="9983" width="16.33203125" style="199" customWidth="1"/>
    <col min="9984" max="9984" width="10.75" style="199" customWidth="1"/>
    <col min="9985" max="9985" width="4.25" style="199" customWidth="1"/>
    <col min="9986" max="9986" width="16.33203125" style="199" customWidth="1"/>
    <col min="9987" max="9987" width="10.58203125" style="199" customWidth="1"/>
    <col min="9988" max="9988" width="4.25" style="199" customWidth="1"/>
    <col min="9989" max="9989" width="16.33203125" style="199" customWidth="1"/>
    <col min="9990" max="9990" width="10.58203125" style="199" customWidth="1"/>
    <col min="9991" max="9991" width="4.25" style="199" customWidth="1"/>
    <col min="9992" max="9992" width="16.33203125" style="199" customWidth="1"/>
    <col min="9993" max="9993" width="10.58203125" style="199" customWidth="1"/>
    <col min="9994" max="10237" width="6.75" style="199"/>
    <col min="10238" max="10238" width="3.58203125" style="199" customWidth="1"/>
    <col min="10239" max="10239" width="16.33203125" style="199" customWidth="1"/>
    <col min="10240" max="10240" width="10.75" style="199" customWidth="1"/>
    <col min="10241" max="10241" width="4.25" style="199" customWidth="1"/>
    <col min="10242" max="10242" width="16.33203125" style="199" customWidth="1"/>
    <col min="10243" max="10243" width="10.58203125" style="199" customWidth="1"/>
    <col min="10244" max="10244" width="4.25" style="199" customWidth="1"/>
    <col min="10245" max="10245" width="16.33203125" style="199" customWidth="1"/>
    <col min="10246" max="10246" width="10.58203125" style="199" customWidth="1"/>
    <col min="10247" max="10247" width="4.25" style="199" customWidth="1"/>
    <col min="10248" max="10248" width="16.33203125" style="199" customWidth="1"/>
    <col min="10249" max="10249" width="10.58203125" style="199" customWidth="1"/>
    <col min="10250" max="10493" width="6.75" style="199"/>
    <col min="10494" max="10494" width="3.58203125" style="199" customWidth="1"/>
    <col min="10495" max="10495" width="16.33203125" style="199" customWidth="1"/>
    <col min="10496" max="10496" width="10.75" style="199" customWidth="1"/>
    <col min="10497" max="10497" width="4.25" style="199" customWidth="1"/>
    <col min="10498" max="10498" width="16.33203125" style="199" customWidth="1"/>
    <col min="10499" max="10499" width="10.58203125" style="199" customWidth="1"/>
    <col min="10500" max="10500" width="4.25" style="199" customWidth="1"/>
    <col min="10501" max="10501" width="16.33203125" style="199" customWidth="1"/>
    <col min="10502" max="10502" width="10.58203125" style="199" customWidth="1"/>
    <col min="10503" max="10503" width="4.25" style="199" customWidth="1"/>
    <col min="10504" max="10504" width="16.33203125" style="199" customWidth="1"/>
    <col min="10505" max="10505" width="10.58203125" style="199" customWidth="1"/>
    <col min="10506" max="10749" width="6.75" style="199"/>
    <col min="10750" max="10750" width="3.58203125" style="199" customWidth="1"/>
    <col min="10751" max="10751" width="16.33203125" style="199" customWidth="1"/>
    <col min="10752" max="10752" width="10.75" style="199" customWidth="1"/>
    <col min="10753" max="10753" width="4.25" style="199" customWidth="1"/>
    <col min="10754" max="10754" width="16.33203125" style="199" customWidth="1"/>
    <col min="10755" max="10755" width="10.58203125" style="199" customWidth="1"/>
    <col min="10756" max="10756" width="4.25" style="199" customWidth="1"/>
    <col min="10757" max="10757" width="16.33203125" style="199" customWidth="1"/>
    <col min="10758" max="10758" width="10.58203125" style="199" customWidth="1"/>
    <col min="10759" max="10759" width="4.25" style="199" customWidth="1"/>
    <col min="10760" max="10760" width="16.33203125" style="199" customWidth="1"/>
    <col min="10761" max="10761" width="10.58203125" style="199" customWidth="1"/>
    <col min="10762" max="11005" width="6.75" style="199"/>
    <col min="11006" max="11006" width="3.58203125" style="199" customWidth="1"/>
    <col min="11007" max="11007" width="16.33203125" style="199" customWidth="1"/>
    <col min="11008" max="11008" width="10.75" style="199" customWidth="1"/>
    <col min="11009" max="11009" width="4.25" style="199" customWidth="1"/>
    <col min="11010" max="11010" width="16.33203125" style="199" customWidth="1"/>
    <col min="11011" max="11011" width="10.58203125" style="199" customWidth="1"/>
    <col min="11012" max="11012" width="4.25" style="199" customWidth="1"/>
    <col min="11013" max="11013" width="16.33203125" style="199" customWidth="1"/>
    <col min="11014" max="11014" width="10.58203125" style="199" customWidth="1"/>
    <col min="11015" max="11015" width="4.25" style="199" customWidth="1"/>
    <col min="11016" max="11016" width="16.33203125" style="199" customWidth="1"/>
    <col min="11017" max="11017" width="10.58203125" style="199" customWidth="1"/>
    <col min="11018" max="11261" width="6.75" style="199"/>
    <col min="11262" max="11262" width="3.58203125" style="199" customWidth="1"/>
    <col min="11263" max="11263" width="16.33203125" style="199" customWidth="1"/>
    <col min="11264" max="11264" width="10.75" style="199" customWidth="1"/>
    <col min="11265" max="11265" width="4.25" style="199" customWidth="1"/>
    <col min="11266" max="11266" width="16.33203125" style="199" customWidth="1"/>
    <col min="11267" max="11267" width="10.58203125" style="199" customWidth="1"/>
    <col min="11268" max="11268" width="4.25" style="199" customWidth="1"/>
    <col min="11269" max="11269" width="16.33203125" style="199" customWidth="1"/>
    <col min="11270" max="11270" width="10.58203125" style="199" customWidth="1"/>
    <col min="11271" max="11271" width="4.25" style="199" customWidth="1"/>
    <col min="11272" max="11272" width="16.33203125" style="199" customWidth="1"/>
    <col min="11273" max="11273" width="10.58203125" style="199" customWidth="1"/>
    <col min="11274" max="11517" width="6.75" style="199"/>
    <col min="11518" max="11518" width="3.58203125" style="199" customWidth="1"/>
    <col min="11519" max="11519" width="16.33203125" style="199" customWidth="1"/>
    <col min="11520" max="11520" width="10.75" style="199" customWidth="1"/>
    <col min="11521" max="11521" width="4.25" style="199" customWidth="1"/>
    <col min="11522" max="11522" width="16.33203125" style="199" customWidth="1"/>
    <col min="11523" max="11523" width="10.58203125" style="199" customWidth="1"/>
    <col min="11524" max="11524" width="4.25" style="199" customWidth="1"/>
    <col min="11525" max="11525" width="16.33203125" style="199" customWidth="1"/>
    <col min="11526" max="11526" width="10.58203125" style="199" customWidth="1"/>
    <col min="11527" max="11527" width="4.25" style="199" customWidth="1"/>
    <col min="11528" max="11528" width="16.33203125" style="199" customWidth="1"/>
    <col min="11529" max="11529" width="10.58203125" style="199" customWidth="1"/>
    <col min="11530" max="11773" width="6.75" style="199"/>
    <col min="11774" max="11774" width="3.58203125" style="199" customWidth="1"/>
    <col min="11775" max="11775" width="16.33203125" style="199" customWidth="1"/>
    <col min="11776" max="11776" width="10.75" style="199" customWidth="1"/>
    <col min="11777" max="11777" width="4.25" style="199" customWidth="1"/>
    <col min="11778" max="11778" width="16.33203125" style="199" customWidth="1"/>
    <col min="11779" max="11779" width="10.58203125" style="199" customWidth="1"/>
    <col min="11780" max="11780" width="4.25" style="199" customWidth="1"/>
    <col min="11781" max="11781" width="16.33203125" style="199" customWidth="1"/>
    <col min="11782" max="11782" width="10.58203125" style="199" customWidth="1"/>
    <col min="11783" max="11783" width="4.25" style="199" customWidth="1"/>
    <col min="11784" max="11784" width="16.33203125" style="199" customWidth="1"/>
    <col min="11785" max="11785" width="10.58203125" style="199" customWidth="1"/>
    <col min="11786" max="12029" width="6.75" style="199"/>
    <col min="12030" max="12030" width="3.58203125" style="199" customWidth="1"/>
    <col min="12031" max="12031" width="16.33203125" style="199" customWidth="1"/>
    <col min="12032" max="12032" width="10.75" style="199" customWidth="1"/>
    <col min="12033" max="12033" width="4.25" style="199" customWidth="1"/>
    <col min="12034" max="12034" width="16.33203125" style="199" customWidth="1"/>
    <col min="12035" max="12035" width="10.58203125" style="199" customWidth="1"/>
    <col min="12036" max="12036" width="4.25" style="199" customWidth="1"/>
    <col min="12037" max="12037" width="16.33203125" style="199" customWidth="1"/>
    <col min="12038" max="12038" width="10.58203125" style="199" customWidth="1"/>
    <col min="12039" max="12039" width="4.25" style="199" customWidth="1"/>
    <col min="12040" max="12040" width="16.33203125" style="199" customWidth="1"/>
    <col min="12041" max="12041" width="10.58203125" style="199" customWidth="1"/>
    <col min="12042" max="12285" width="6.75" style="199"/>
    <col min="12286" max="12286" width="3.58203125" style="199" customWidth="1"/>
    <col min="12287" max="12287" width="16.33203125" style="199" customWidth="1"/>
    <col min="12288" max="12288" width="10.75" style="199" customWidth="1"/>
    <col min="12289" max="12289" width="4.25" style="199" customWidth="1"/>
    <col min="12290" max="12290" width="16.33203125" style="199" customWidth="1"/>
    <col min="12291" max="12291" width="10.58203125" style="199" customWidth="1"/>
    <col min="12292" max="12292" width="4.25" style="199" customWidth="1"/>
    <col min="12293" max="12293" width="16.33203125" style="199" customWidth="1"/>
    <col min="12294" max="12294" width="10.58203125" style="199" customWidth="1"/>
    <col min="12295" max="12295" width="4.25" style="199" customWidth="1"/>
    <col min="12296" max="12296" width="16.33203125" style="199" customWidth="1"/>
    <col min="12297" max="12297" width="10.58203125" style="199" customWidth="1"/>
    <col min="12298" max="12541" width="6.75" style="199"/>
    <col min="12542" max="12542" width="3.58203125" style="199" customWidth="1"/>
    <col min="12543" max="12543" width="16.33203125" style="199" customWidth="1"/>
    <col min="12544" max="12544" width="10.75" style="199" customWidth="1"/>
    <col min="12545" max="12545" width="4.25" style="199" customWidth="1"/>
    <col min="12546" max="12546" width="16.33203125" style="199" customWidth="1"/>
    <col min="12547" max="12547" width="10.58203125" style="199" customWidth="1"/>
    <col min="12548" max="12548" width="4.25" style="199" customWidth="1"/>
    <col min="12549" max="12549" width="16.33203125" style="199" customWidth="1"/>
    <col min="12550" max="12550" width="10.58203125" style="199" customWidth="1"/>
    <col min="12551" max="12551" width="4.25" style="199" customWidth="1"/>
    <col min="12552" max="12552" width="16.33203125" style="199" customWidth="1"/>
    <col min="12553" max="12553" width="10.58203125" style="199" customWidth="1"/>
    <col min="12554" max="12797" width="6.75" style="199"/>
    <col min="12798" max="12798" width="3.58203125" style="199" customWidth="1"/>
    <col min="12799" max="12799" width="16.33203125" style="199" customWidth="1"/>
    <col min="12800" max="12800" width="10.75" style="199" customWidth="1"/>
    <col min="12801" max="12801" width="4.25" style="199" customWidth="1"/>
    <col min="12802" max="12802" width="16.33203125" style="199" customWidth="1"/>
    <col min="12803" max="12803" width="10.58203125" style="199" customWidth="1"/>
    <col min="12804" max="12804" width="4.25" style="199" customWidth="1"/>
    <col min="12805" max="12805" width="16.33203125" style="199" customWidth="1"/>
    <col min="12806" max="12806" width="10.58203125" style="199" customWidth="1"/>
    <col min="12807" max="12807" width="4.25" style="199" customWidth="1"/>
    <col min="12808" max="12808" width="16.33203125" style="199" customWidth="1"/>
    <col min="12809" max="12809" width="10.58203125" style="199" customWidth="1"/>
    <col min="12810" max="13053" width="6.75" style="199"/>
    <col min="13054" max="13054" width="3.58203125" style="199" customWidth="1"/>
    <col min="13055" max="13055" width="16.33203125" style="199" customWidth="1"/>
    <col min="13056" max="13056" width="10.75" style="199" customWidth="1"/>
    <col min="13057" max="13057" width="4.25" style="199" customWidth="1"/>
    <col min="13058" max="13058" width="16.33203125" style="199" customWidth="1"/>
    <col min="13059" max="13059" width="10.58203125" style="199" customWidth="1"/>
    <col min="13060" max="13060" width="4.25" style="199" customWidth="1"/>
    <col min="13061" max="13061" width="16.33203125" style="199" customWidth="1"/>
    <col min="13062" max="13062" width="10.58203125" style="199" customWidth="1"/>
    <col min="13063" max="13063" width="4.25" style="199" customWidth="1"/>
    <col min="13064" max="13064" width="16.33203125" style="199" customWidth="1"/>
    <col min="13065" max="13065" width="10.58203125" style="199" customWidth="1"/>
    <col min="13066" max="13309" width="6.75" style="199"/>
    <col min="13310" max="13310" width="3.58203125" style="199" customWidth="1"/>
    <col min="13311" max="13311" width="16.33203125" style="199" customWidth="1"/>
    <col min="13312" max="13312" width="10.75" style="199" customWidth="1"/>
    <col min="13313" max="13313" width="4.25" style="199" customWidth="1"/>
    <col min="13314" max="13314" width="16.33203125" style="199" customWidth="1"/>
    <col min="13315" max="13315" width="10.58203125" style="199" customWidth="1"/>
    <col min="13316" max="13316" width="4.25" style="199" customWidth="1"/>
    <col min="13317" max="13317" width="16.33203125" style="199" customWidth="1"/>
    <col min="13318" max="13318" width="10.58203125" style="199" customWidth="1"/>
    <col min="13319" max="13319" width="4.25" style="199" customWidth="1"/>
    <col min="13320" max="13320" width="16.33203125" style="199" customWidth="1"/>
    <col min="13321" max="13321" width="10.58203125" style="199" customWidth="1"/>
    <col min="13322" max="13565" width="6.75" style="199"/>
    <col min="13566" max="13566" width="3.58203125" style="199" customWidth="1"/>
    <col min="13567" max="13567" width="16.33203125" style="199" customWidth="1"/>
    <col min="13568" max="13568" width="10.75" style="199" customWidth="1"/>
    <col min="13569" max="13569" width="4.25" style="199" customWidth="1"/>
    <col min="13570" max="13570" width="16.33203125" style="199" customWidth="1"/>
    <col min="13571" max="13571" width="10.58203125" style="199" customWidth="1"/>
    <col min="13572" max="13572" width="4.25" style="199" customWidth="1"/>
    <col min="13573" max="13573" width="16.33203125" style="199" customWidth="1"/>
    <col min="13574" max="13574" width="10.58203125" style="199" customWidth="1"/>
    <col min="13575" max="13575" width="4.25" style="199" customWidth="1"/>
    <col min="13576" max="13576" width="16.33203125" style="199" customWidth="1"/>
    <col min="13577" max="13577" width="10.58203125" style="199" customWidth="1"/>
    <col min="13578" max="13821" width="6.75" style="199"/>
    <col min="13822" max="13822" width="3.58203125" style="199" customWidth="1"/>
    <col min="13823" max="13823" width="16.33203125" style="199" customWidth="1"/>
    <col min="13824" max="13824" width="10.75" style="199" customWidth="1"/>
    <col min="13825" max="13825" width="4.25" style="199" customWidth="1"/>
    <col min="13826" max="13826" width="16.33203125" style="199" customWidth="1"/>
    <col min="13827" max="13827" width="10.58203125" style="199" customWidth="1"/>
    <col min="13828" max="13828" width="4.25" style="199" customWidth="1"/>
    <col min="13829" max="13829" width="16.33203125" style="199" customWidth="1"/>
    <col min="13830" max="13830" width="10.58203125" style="199" customWidth="1"/>
    <col min="13831" max="13831" width="4.25" style="199" customWidth="1"/>
    <col min="13832" max="13832" width="16.33203125" style="199" customWidth="1"/>
    <col min="13833" max="13833" width="10.58203125" style="199" customWidth="1"/>
    <col min="13834" max="14077" width="6.75" style="199"/>
    <col min="14078" max="14078" width="3.58203125" style="199" customWidth="1"/>
    <col min="14079" max="14079" width="16.33203125" style="199" customWidth="1"/>
    <col min="14080" max="14080" width="10.75" style="199" customWidth="1"/>
    <col min="14081" max="14081" width="4.25" style="199" customWidth="1"/>
    <col min="14082" max="14082" width="16.33203125" style="199" customWidth="1"/>
    <col min="14083" max="14083" width="10.58203125" style="199" customWidth="1"/>
    <col min="14084" max="14084" width="4.25" style="199" customWidth="1"/>
    <col min="14085" max="14085" width="16.33203125" style="199" customWidth="1"/>
    <col min="14086" max="14086" width="10.58203125" style="199" customWidth="1"/>
    <col min="14087" max="14087" width="4.25" style="199" customWidth="1"/>
    <col min="14088" max="14088" width="16.33203125" style="199" customWidth="1"/>
    <col min="14089" max="14089" width="10.58203125" style="199" customWidth="1"/>
    <col min="14090" max="14333" width="6.75" style="199"/>
    <col min="14334" max="14334" width="3.58203125" style="199" customWidth="1"/>
    <col min="14335" max="14335" width="16.33203125" style="199" customWidth="1"/>
    <col min="14336" max="14336" width="10.75" style="199" customWidth="1"/>
    <col min="14337" max="14337" width="4.25" style="199" customWidth="1"/>
    <col min="14338" max="14338" width="16.33203125" style="199" customWidth="1"/>
    <col min="14339" max="14339" width="10.58203125" style="199" customWidth="1"/>
    <col min="14340" max="14340" width="4.25" style="199" customWidth="1"/>
    <col min="14341" max="14341" width="16.33203125" style="199" customWidth="1"/>
    <col min="14342" max="14342" width="10.58203125" style="199" customWidth="1"/>
    <col min="14343" max="14343" width="4.25" style="199" customWidth="1"/>
    <col min="14344" max="14344" width="16.33203125" style="199" customWidth="1"/>
    <col min="14345" max="14345" width="10.58203125" style="199" customWidth="1"/>
    <col min="14346" max="14589" width="6.75" style="199"/>
    <col min="14590" max="14590" width="3.58203125" style="199" customWidth="1"/>
    <col min="14591" max="14591" width="16.33203125" style="199" customWidth="1"/>
    <col min="14592" max="14592" width="10.75" style="199" customWidth="1"/>
    <col min="14593" max="14593" width="4.25" style="199" customWidth="1"/>
    <col min="14594" max="14594" width="16.33203125" style="199" customWidth="1"/>
    <col min="14595" max="14595" width="10.58203125" style="199" customWidth="1"/>
    <col min="14596" max="14596" width="4.25" style="199" customWidth="1"/>
    <col min="14597" max="14597" width="16.33203125" style="199" customWidth="1"/>
    <col min="14598" max="14598" width="10.58203125" style="199" customWidth="1"/>
    <col min="14599" max="14599" width="4.25" style="199" customWidth="1"/>
    <col min="14600" max="14600" width="16.33203125" style="199" customWidth="1"/>
    <col min="14601" max="14601" width="10.58203125" style="199" customWidth="1"/>
    <col min="14602" max="14845" width="6.75" style="199"/>
    <col min="14846" max="14846" width="3.58203125" style="199" customWidth="1"/>
    <col min="14847" max="14847" width="16.33203125" style="199" customWidth="1"/>
    <col min="14848" max="14848" width="10.75" style="199" customWidth="1"/>
    <col min="14849" max="14849" width="4.25" style="199" customWidth="1"/>
    <col min="14850" max="14850" width="16.33203125" style="199" customWidth="1"/>
    <col min="14851" max="14851" width="10.58203125" style="199" customWidth="1"/>
    <col min="14852" max="14852" width="4.25" style="199" customWidth="1"/>
    <col min="14853" max="14853" width="16.33203125" style="199" customWidth="1"/>
    <col min="14854" max="14854" width="10.58203125" style="199" customWidth="1"/>
    <col min="14855" max="14855" width="4.25" style="199" customWidth="1"/>
    <col min="14856" max="14856" width="16.33203125" style="199" customWidth="1"/>
    <col min="14857" max="14857" width="10.58203125" style="199" customWidth="1"/>
    <col min="14858" max="15101" width="6.75" style="199"/>
    <col min="15102" max="15102" width="3.58203125" style="199" customWidth="1"/>
    <col min="15103" max="15103" width="16.33203125" style="199" customWidth="1"/>
    <col min="15104" max="15104" width="10.75" style="199" customWidth="1"/>
    <col min="15105" max="15105" width="4.25" style="199" customWidth="1"/>
    <col min="15106" max="15106" width="16.33203125" style="199" customWidth="1"/>
    <col min="15107" max="15107" width="10.58203125" style="199" customWidth="1"/>
    <col min="15108" max="15108" width="4.25" style="199" customWidth="1"/>
    <col min="15109" max="15109" width="16.33203125" style="199" customWidth="1"/>
    <col min="15110" max="15110" width="10.58203125" style="199" customWidth="1"/>
    <col min="15111" max="15111" width="4.25" style="199" customWidth="1"/>
    <col min="15112" max="15112" width="16.33203125" style="199" customWidth="1"/>
    <col min="15113" max="15113" width="10.58203125" style="199" customWidth="1"/>
    <col min="15114" max="15357" width="6.75" style="199"/>
    <col min="15358" max="15358" width="3.58203125" style="199" customWidth="1"/>
    <col min="15359" max="15359" width="16.33203125" style="199" customWidth="1"/>
    <col min="15360" max="15360" width="10.75" style="199" customWidth="1"/>
    <col min="15361" max="15361" width="4.25" style="199" customWidth="1"/>
    <col min="15362" max="15362" width="16.33203125" style="199" customWidth="1"/>
    <col min="15363" max="15363" width="10.58203125" style="199" customWidth="1"/>
    <col min="15364" max="15364" width="4.25" style="199" customWidth="1"/>
    <col min="15365" max="15365" width="16.33203125" style="199" customWidth="1"/>
    <col min="15366" max="15366" width="10.58203125" style="199" customWidth="1"/>
    <col min="15367" max="15367" width="4.25" style="199" customWidth="1"/>
    <col min="15368" max="15368" width="16.33203125" style="199" customWidth="1"/>
    <col min="15369" max="15369" width="10.58203125" style="199" customWidth="1"/>
    <col min="15370" max="15613" width="6.75" style="199"/>
    <col min="15614" max="15614" width="3.58203125" style="199" customWidth="1"/>
    <col min="15615" max="15615" width="16.33203125" style="199" customWidth="1"/>
    <col min="15616" max="15616" width="10.75" style="199" customWidth="1"/>
    <col min="15617" max="15617" width="4.25" style="199" customWidth="1"/>
    <col min="15618" max="15618" width="16.33203125" style="199" customWidth="1"/>
    <col min="15619" max="15619" width="10.58203125" style="199" customWidth="1"/>
    <col min="15620" max="15620" width="4.25" style="199" customWidth="1"/>
    <col min="15621" max="15621" width="16.33203125" style="199" customWidth="1"/>
    <col min="15622" max="15622" width="10.58203125" style="199" customWidth="1"/>
    <col min="15623" max="15623" width="4.25" style="199" customWidth="1"/>
    <col min="15624" max="15624" width="16.33203125" style="199" customWidth="1"/>
    <col min="15625" max="15625" width="10.58203125" style="199" customWidth="1"/>
    <col min="15626" max="15869" width="6.75" style="199"/>
    <col min="15870" max="15870" width="3.58203125" style="199" customWidth="1"/>
    <col min="15871" max="15871" width="16.33203125" style="199" customWidth="1"/>
    <col min="15872" max="15872" width="10.75" style="199" customWidth="1"/>
    <col min="15873" max="15873" width="4.25" style="199" customWidth="1"/>
    <col min="15874" max="15874" width="16.33203125" style="199" customWidth="1"/>
    <col min="15875" max="15875" width="10.58203125" style="199" customWidth="1"/>
    <col min="15876" max="15876" width="4.25" style="199" customWidth="1"/>
    <col min="15877" max="15877" width="16.33203125" style="199" customWidth="1"/>
    <col min="15878" max="15878" width="10.58203125" style="199" customWidth="1"/>
    <col min="15879" max="15879" width="4.25" style="199" customWidth="1"/>
    <col min="15880" max="15880" width="16.33203125" style="199" customWidth="1"/>
    <col min="15881" max="15881" width="10.58203125" style="199" customWidth="1"/>
    <col min="15882" max="16125" width="6.75" style="199"/>
    <col min="16126" max="16126" width="3.58203125" style="199" customWidth="1"/>
    <col min="16127" max="16127" width="16.33203125" style="199" customWidth="1"/>
    <col min="16128" max="16128" width="10.75" style="199" customWidth="1"/>
    <col min="16129" max="16129" width="4.25" style="199" customWidth="1"/>
    <col min="16130" max="16130" width="16.33203125" style="199" customWidth="1"/>
    <col min="16131" max="16131" width="10.58203125" style="199" customWidth="1"/>
    <col min="16132" max="16132" width="4.25" style="199" customWidth="1"/>
    <col min="16133" max="16133" width="16.33203125" style="199" customWidth="1"/>
    <col min="16134" max="16134" width="10.58203125" style="199" customWidth="1"/>
    <col min="16135" max="16135" width="4.25" style="199" customWidth="1"/>
    <col min="16136" max="16136" width="16.33203125" style="199" customWidth="1"/>
    <col min="16137" max="16137" width="10.58203125" style="199" customWidth="1"/>
    <col min="16138" max="16384" width="6.75" style="199"/>
  </cols>
  <sheetData>
    <row r="1" spans="1:16" thickBot="1" x14ac:dyDescent="0.35">
      <c r="B1" s="200"/>
      <c r="C1" s="200"/>
    </row>
    <row r="2" spans="1:16" ht="30" customHeight="1" thickBot="1" x14ac:dyDescent="0.35">
      <c r="A2" s="201"/>
      <c r="B2" s="437" t="s">
        <v>276</v>
      </c>
      <c r="C2" s="438"/>
      <c r="D2" s="436"/>
      <c r="E2" s="200"/>
      <c r="F2" s="200"/>
      <c r="H2" s="200"/>
      <c r="I2" s="200"/>
      <c r="K2" s="200"/>
      <c r="L2" s="200"/>
      <c r="N2" s="200"/>
      <c r="O2" s="200"/>
    </row>
    <row r="3" spans="1:16" thickBot="1" x14ac:dyDescent="0.35">
      <c r="B3" s="204"/>
      <c r="C3" s="204"/>
      <c r="E3" s="200"/>
      <c r="F3" s="200"/>
      <c r="H3" s="200"/>
      <c r="I3" s="200"/>
      <c r="K3" s="200"/>
      <c r="L3" s="200"/>
      <c r="N3" s="200"/>
      <c r="O3" s="200"/>
    </row>
    <row r="4" spans="1:16" ht="34.950000000000003" customHeight="1" thickBot="1" x14ac:dyDescent="0.35">
      <c r="A4" s="201"/>
      <c r="B4" s="695" t="s">
        <v>183</v>
      </c>
      <c r="C4" s="695"/>
      <c r="D4" s="202"/>
      <c r="E4" s="695" t="s">
        <v>184</v>
      </c>
      <c r="F4" s="695"/>
      <c r="G4" s="202"/>
      <c r="H4" s="695" t="s">
        <v>185</v>
      </c>
      <c r="I4" s="695"/>
      <c r="J4" s="202"/>
      <c r="K4" s="696" t="s">
        <v>186</v>
      </c>
      <c r="L4" s="696"/>
      <c r="M4" s="202"/>
      <c r="N4" s="697" t="s">
        <v>187</v>
      </c>
      <c r="O4" s="697"/>
      <c r="P4" s="202"/>
    </row>
    <row r="5" spans="1:16" ht="25.05" customHeight="1" thickBot="1" x14ac:dyDescent="0.35">
      <c r="A5" s="201"/>
      <c r="B5" s="603" t="s">
        <v>167</v>
      </c>
      <c r="C5" s="205">
        <v>0.08</v>
      </c>
      <c r="D5" s="202"/>
      <c r="E5" s="603" t="s">
        <v>167</v>
      </c>
      <c r="F5" s="205">
        <v>0.1</v>
      </c>
      <c r="G5" s="202"/>
      <c r="H5" s="603" t="s">
        <v>168</v>
      </c>
      <c r="I5" s="211">
        <v>3</v>
      </c>
      <c r="J5" s="202"/>
      <c r="K5" s="603" t="s">
        <v>168</v>
      </c>
      <c r="L5" s="211">
        <v>3</v>
      </c>
      <c r="M5" s="202"/>
      <c r="N5" s="603" t="s">
        <v>168</v>
      </c>
      <c r="O5" s="211">
        <v>3</v>
      </c>
      <c r="P5" s="202"/>
    </row>
    <row r="6" spans="1:16" ht="25.05" customHeight="1" thickBot="1" x14ac:dyDescent="0.35">
      <c r="A6" s="201"/>
      <c r="B6" s="603" t="s">
        <v>169</v>
      </c>
      <c r="C6" s="206">
        <v>5</v>
      </c>
      <c r="D6" s="202"/>
      <c r="E6" s="603" t="s">
        <v>170</v>
      </c>
      <c r="F6" s="210">
        <v>2</v>
      </c>
      <c r="G6" s="202"/>
      <c r="H6" s="603" t="s">
        <v>170</v>
      </c>
      <c r="I6" s="210">
        <v>2.5</v>
      </c>
      <c r="J6" s="202"/>
      <c r="K6" s="603" t="s">
        <v>167</v>
      </c>
      <c r="L6" s="212">
        <v>0.1</v>
      </c>
      <c r="M6" s="202"/>
      <c r="N6" s="603" t="s">
        <v>167</v>
      </c>
      <c r="O6" s="212">
        <v>0.1</v>
      </c>
      <c r="P6" s="202"/>
    </row>
    <row r="7" spans="1:16" ht="25.05" customHeight="1" thickBot="1" x14ac:dyDescent="0.35">
      <c r="A7" s="201"/>
      <c r="B7" s="604" t="s">
        <v>171</v>
      </c>
      <c r="C7" s="207">
        <v>0.5</v>
      </c>
      <c r="D7" s="202"/>
      <c r="E7" s="603" t="s">
        <v>172</v>
      </c>
      <c r="F7" s="210">
        <v>10</v>
      </c>
      <c r="G7" s="202"/>
      <c r="H7" s="603" t="s">
        <v>172</v>
      </c>
      <c r="I7" s="210">
        <v>10</v>
      </c>
      <c r="J7" s="202"/>
      <c r="K7" s="603" t="s">
        <v>172</v>
      </c>
      <c r="L7" s="210">
        <v>10</v>
      </c>
      <c r="M7" s="202"/>
      <c r="N7" s="603" t="s">
        <v>173</v>
      </c>
      <c r="O7" s="207">
        <v>0.5</v>
      </c>
      <c r="P7" s="202"/>
    </row>
    <row r="8" spans="1:16" ht="25.05" customHeight="1" thickBot="1" x14ac:dyDescent="0.35">
      <c r="A8" s="201"/>
      <c r="B8" s="603" t="s">
        <v>174</v>
      </c>
      <c r="C8" s="208">
        <v>150</v>
      </c>
      <c r="D8" s="202"/>
      <c r="E8" s="603" t="s">
        <v>175</v>
      </c>
      <c r="F8" s="208">
        <v>200</v>
      </c>
      <c r="G8" s="202"/>
      <c r="H8" s="603" t="s">
        <v>175</v>
      </c>
      <c r="I8" s="208">
        <v>200</v>
      </c>
      <c r="J8" s="202"/>
      <c r="K8" s="603" t="s">
        <v>175</v>
      </c>
      <c r="L8" s="208">
        <v>100</v>
      </c>
      <c r="M8" s="202"/>
      <c r="N8" s="603" t="s">
        <v>175</v>
      </c>
      <c r="O8" s="208">
        <v>2000</v>
      </c>
      <c r="P8" s="202"/>
    </row>
    <row r="9" spans="1:16" ht="25.05" customHeight="1" thickBot="1" x14ac:dyDescent="0.35">
      <c r="A9" s="201"/>
      <c r="B9" s="603" t="s">
        <v>166</v>
      </c>
      <c r="C9" s="209">
        <v>0</v>
      </c>
      <c r="D9" s="202"/>
      <c r="E9" s="603" t="s">
        <v>176</v>
      </c>
      <c r="F9" s="209">
        <v>0</v>
      </c>
      <c r="G9" s="202"/>
      <c r="H9" s="603" t="s">
        <v>176</v>
      </c>
      <c r="I9" s="209">
        <v>0</v>
      </c>
      <c r="J9" s="202"/>
      <c r="K9" s="603" t="s">
        <v>176</v>
      </c>
      <c r="L9" s="209">
        <v>0</v>
      </c>
      <c r="M9" s="202"/>
      <c r="N9" s="603" t="s">
        <v>176</v>
      </c>
      <c r="O9" s="209">
        <v>0</v>
      </c>
      <c r="P9" s="202"/>
    </row>
    <row r="10" spans="1:16" ht="34.950000000000003" customHeight="1" thickBot="1" x14ac:dyDescent="0.5">
      <c r="A10" s="201"/>
      <c r="B10" s="594" t="s">
        <v>177</v>
      </c>
      <c r="C10" s="595">
        <f>FV(C5,C6,-C7*12,-C8,C9)</f>
        <v>255.59881728000008</v>
      </c>
      <c r="D10" s="203"/>
      <c r="E10" s="594" t="s">
        <v>178</v>
      </c>
      <c r="F10" s="596">
        <f>NPER(F5,-F6*12,-F7,F8,F9)</f>
        <v>5.9313056612700663</v>
      </c>
      <c r="G10" s="203"/>
      <c r="H10" s="594" t="s">
        <v>179</v>
      </c>
      <c r="I10" s="597">
        <f>RATE(I5,-I6*12,-I7,I8,I9)</f>
        <v>0.62074139420881436</v>
      </c>
      <c r="J10" s="202"/>
      <c r="K10" s="594" t="s">
        <v>180</v>
      </c>
      <c r="L10" s="598">
        <f>-PMT(L6,L5,-L7,L8)/12</f>
        <v>2.1825276938569993</v>
      </c>
      <c r="M10" s="202"/>
      <c r="N10" s="594" t="s">
        <v>181</v>
      </c>
      <c r="O10" s="595">
        <f>PV(O6,O5,O7,-O8,O9)</f>
        <v>1501.386175807663</v>
      </c>
      <c r="P10" s="202"/>
    </row>
    <row r="17" spans="1:16" ht="30" customHeight="1" thickBot="1" x14ac:dyDescent="0.35">
      <c r="B17" s="435" t="s">
        <v>275</v>
      </c>
      <c r="C17" s="438"/>
    </row>
    <row r="18" spans="1:16" thickBot="1" x14ac:dyDescent="0.35">
      <c r="A18" s="199" t="s">
        <v>182</v>
      </c>
    </row>
    <row r="19" spans="1:16" ht="26.4" customHeight="1" thickBot="1" x14ac:dyDescent="0.35">
      <c r="B19" s="255" t="s">
        <v>41</v>
      </c>
      <c r="C19" s="200"/>
      <c r="E19" s="255" t="s">
        <v>209</v>
      </c>
      <c r="F19" s="200"/>
      <c r="H19" s="255" t="s">
        <v>4</v>
      </c>
      <c r="I19" s="200"/>
      <c r="K19" s="255" t="s">
        <v>210</v>
      </c>
      <c r="L19" s="200"/>
      <c r="N19" s="255" t="s">
        <v>134</v>
      </c>
      <c r="O19" s="200"/>
    </row>
    <row r="20" spans="1:16" ht="24" customHeight="1" thickBot="1" x14ac:dyDescent="0.35">
      <c r="A20" s="201"/>
      <c r="B20" s="599" t="s">
        <v>138</v>
      </c>
      <c r="C20" s="249">
        <v>100</v>
      </c>
      <c r="D20" s="202"/>
      <c r="E20" s="599" t="s">
        <v>138</v>
      </c>
      <c r="F20" s="249">
        <v>100</v>
      </c>
      <c r="G20" s="202"/>
      <c r="H20" s="599" t="s">
        <v>138</v>
      </c>
      <c r="I20" s="249">
        <v>100</v>
      </c>
      <c r="J20" s="202"/>
      <c r="K20" s="599" t="s">
        <v>138</v>
      </c>
      <c r="L20" s="249">
        <v>100</v>
      </c>
      <c r="M20" s="202"/>
      <c r="N20" s="599" t="s">
        <v>138</v>
      </c>
      <c r="O20" s="249">
        <v>100</v>
      </c>
      <c r="P20" s="202"/>
    </row>
    <row r="21" spans="1:16" ht="24" customHeight="1" thickBot="1" x14ac:dyDescent="0.35">
      <c r="A21" s="201"/>
      <c r="B21" s="600" t="s">
        <v>207</v>
      </c>
      <c r="C21" s="250">
        <v>0.03</v>
      </c>
      <c r="D21" s="202"/>
      <c r="E21" s="600" t="s">
        <v>207</v>
      </c>
      <c r="F21" s="250">
        <v>0.03</v>
      </c>
      <c r="G21" s="202"/>
      <c r="H21" s="600" t="s">
        <v>207</v>
      </c>
      <c r="I21" s="250">
        <v>0.03</v>
      </c>
      <c r="J21" s="202"/>
      <c r="K21" s="600" t="s">
        <v>207</v>
      </c>
      <c r="L21" s="250">
        <v>0.03</v>
      </c>
      <c r="M21" s="202"/>
      <c r="N21" s="600" t="s">
        <v>207</v>
      </c>
      <c r="O21" s="250">
        <v>0.03</v>
      </c>
      <c r="P21" s="202"/>
    </row>
    <row r="22" spans="1:16" ht="24" customHeight="1" thickBot="1" x14ac:dyDescent="0.35">
      <c r="A22" s="201"/>
      <c r="B22" s="600" t="s">
        <v>208</v>
      </c>
      <c r="C22" s="251">
        <v>1</v>
      </c>
      <c r="D22" s="202"/>
      <c r="E22" s="600" t="s">
        <v>208</v>
      </c>
      <c r="F22" s="251">
        <v>1</v>
      </c>
      <c r="G22" s="202"/>
      <c r="H22" s="600" t="s">
        <v>208</v>
      </c>
      <c r="I22" s="251">
        <v>1</v>
      </c>
      <c r="J22" s="202"/>
      <c r="K22" s="600" t="s">
        <v>208</v>
      </c>
      <c r="L22" s="251">
        <v>1</v>
      </c>
      <c r="M22" s="202"/>
      <c r="N22" s="600" t="s">
        <v>208</v>
      </c>
      <c r="O22" s="251">
        <v>1</v>
      </c>
      <c r="P22" s="202"/>
    </row>
    <row r="23" spans="1:16" ht="24" customHeight="1" thickBot="1" x14ac:dyDescent="0.35">
      <c r="A23" s="201"/>
      <c r="B23" s="600" t="s">
        <v>206</v>
      </c>
      <c r="C23" s="252">
        <f>FV(C21,C22,,-C20)</f>
        <v>103</v>
      </c>
      <c r="D23" s="202"/>
      <c r="E23" s="600" t="s">
        <v>206</v>
      </c>
      <c r="F23" s="252">
        <f>FV(F21,F22,,-F20)</f>
        <v>103</v>
      </c>
      <c r="G23" s="202"/>
      <c r="H23" s="600" t="s">
        <v>206</v>
      </c>
      <c r="I23" s="252">
        <f>FV(I21,I22,,-I20)</f>
        <v>103</v>
      </c>
      <c r="J23" s="202"/>
      <c r="K23" s="600" t="s">
        <v>206</v>
      </c>
      <c r="L23" s="252">
        <f>FV(L21,L22,,-L20)</f>
        <v>103</v>
      </c>
      <c r="M23" s="202"/>
      <c r="N23" s="600" t="s">
        <v>206</v>
      </c>
      <c r="O23" s="252">
        <f>FV(O21,O22,,-O20)</f>
        <v>103</v>
      </c>
      <c r="P23" s="202"/>
    </row>
    <row r="24" spans="1:16" ht="24" customHeight="1" thickBot="1" x14ac:dyDescent="0.35">
      <c r="A24" s="201"/>
      <c r="B24" s="657" t="s">
        <v>253</v>
      </c>
      <c r="C24" s="252">
        <v>30</v>
      </c>
      <c r="D24" s="202"/>
      <c r="E24" s="657" t="s">
        <v>253</v>
      </c>
      <c r="F24" s="252">
        <v>30</v>
      </c>
      <c r="G24" s="202"/>
      <c r="H24" s="657" t="s">
        <v>253</v>
      </c>
      <c r="I24" s="252">
        <v>30</v>
      </c>
      <c r="J24" s="202"/>
      <c r="K24" s="657" t="s">
        <v>253</v>
      </c>
      <c r="L24" s="252">
        <v>30</v>
      </c>
      <c r="M24" s="202"/>
      <c r="N24" s="657" t="s">
        <v>253</v>
      </c>
      <c r="O24" s="252">
        <v>30</v>
      </c>
      <c r="P24" s="202"/>
    </row>
    <row r="25" spans="1:16" ht="24" customHeight="1" thickBot="1" x14ac:dyDescent="0.35">
      <c r="A25" s="201"/>
      <c r="B25" s="657" t="s">
        <v>254</v>
      </c>
      <c r="C25" s="252">
        <v>10</v>
      </c>
      <c r="D25" s="202"/>
      <c r="E25" s="657" t="s">
        <v>254</v>
      </c>
      <c r="F25" s="252">
        <v>10</v>
      </c>
      <c r="G25" s="202"/>
      <c r="H25" s="657" t="s">
        <v>254</v>
      </c>
      <c r="I25" s="252">
        <v>10</v>
      </c>
      <c r="J25" s="202"/>
      <c r="K25" s="657" t="s">
        <v>254</v>
      </c>
      <c r="L25" s="252">
        <v>10</v>
      </c>
      <c r="M25" s="202"/>
      <c r="N25" s="657" t="s">
        <v>254</v>
      </c>
      <c r="O25" s="252">
        <v>10</v>
      </c>
      <c r="P25" s="202"/>
    </row>
    <row r="26" spans="1:16" ht="24" customHeight="1" thickBot="1" x14ac:dyDescent="0.35">
      <c r="A26" s="201"/>
      <c r="B26" s="657" t="s">
        <v>255</v>
      </c>
      <c r="C26" s="253">
        <v>0.3</v>
      </c>
      <c r="D26" s="202"/>
      <c r="E26" s="657" t="s">
        <v>255</v>
      </c>
      <c r="F26" s="253">
        <v>0.3</v>
      </c>
      <c r="G26" s="202"/>
      <c r="H26" s="657" t="s">
        <v>255</v>
      </c>
      <c r="I26" s="253">
        <v>0.3</v>
      </c>
      <c r="J26" s="202"/>
      <c r="K26" s="657" t="s">
        <v>255</v>
      </c>
      <c r="L26" s="253">
        <v>0.3</v>
      </c>
      <c r="M26" s="202"/>
      <c r="N26" s="657" t="s">
        <v>255</v>
      </c>
      <c r="O26" s="253">
        <v>0.3</v>
      </c>
      <c r="P26" s="202"/>
    </row>
    <row r="27" spans="1:16" ht="24" customHeight="1" thickBot="1" x14ac:dyDescent="0.35">
      <c r="A27" s="201"/>
      <c r="B27" s="600" t="s">
        <v>204</v>
      </c>
      <c r="C27" s="250">
        <v>0.02</v>
      </c>
      <c r="D27" s="202"/>
      <c r="E27" s="600" t="s">
        <v>204</v>
      </c>
      <c r="F27" s="250">
        <v>0.02</v>
      </c>
      <c r="G27" s="202"/>
      <c r="H27" s="600" t="s">
        <v>204</v>
      </c>
      <c r="I27" s="250">
        <v>0.02</v>
      </c>
      <c r="J27" s="202"/>
      <c r="K27" s="600" t="s">
        <v>204</v>
      </c>
      <c r="L27" s="250">
        <v>0.02</v>
      </c>
      <c r="M27" s="202"/>
      <c r="N27" s="600" t="s">
        <v>204</v>
      </c>
      <c r="O27" s="250">
        <v>0.02</v>
      </c>
      <c r="P27" s="202"/>
    </row>
    <row r="28" spans="1:16" ht="24" customHeight="1" thickBot="1" x14ac:dyDescent="0.35">
      <c r="A28" s="201"/>
      <c r="B28" s="600" t="s">
        <v>205</v>
      </c>
      <c r="C28" s="256">
        <v>5</v>
      </c>
      <c r="D28" s="202"/>
      <c r="E28" s="600" t="s">
        <v>205</v>
      </c>
      <c r="F28" s="256">
        <v>5</v>
      </c>
      <c r="G28" s="202"/>
      <c r="H28" s="600" t="s">
        <v>205</v>
      </c>
      <c r="I28" s="256">
        <v>5</v>
      </c>
      <c r="J28" s="202"/>
      <c r="K28" s="600" t="s">
        <v>205</v>
      </c>
      <c r="L28" s="256">
        <v>5</v>
      </c>
      <c r="M28" s="202"/>
      <c r="N28" s="600" t="s">
        <v>205</v>
      </c>
      <c r="O28" s="256">
        <v>5</v>
      </c>
      <c r="P28" s="202"/>
    </row>
    <row r="29" spans="1:16" ht="24" customHeight="1" thickBot="1" x14ac:dyDescent="0.35">
      <c r="A29" s="201"/>
      <c r="B29" s="254"/>
      <c r="C29" s="257"/>
      <c r="D29" s="202"/>
      <c r="E29" s="254"/>
      <c r="F29" s="257"/>
      <c r="G29" s="202"/>
      <c r="H29" s="254"/>
      <c r="I29" s="257"/>
      <c r="J29" s="202"/>
      <c r="K29" s="254"/>
      <c r="L29" s="257"/>
      <c r="M29" s="202"/>
      <c r="N29" s="254"/>
      <c r="O29" s="257"/>
      <c r="P29" s="202"/>
    </row>
    <row r="30" spans="1:16" ht="24" customHeight="1" thickBot="1" x14ac:dyDescent="0.35">
      <c r="A30" s="201"/>
      <c r="B30" s="600" t="s">
        <v>256</v>
      </c>
      <c r="C30" s="658">
        <f>PV(C27,C28,C26,-(C23-C24))</f>
        <v>64.704311265032601</v>
      </c>
      <c r="D30" s="202"/>
      <c r="E30" s="600" t="s">
        <v>256</v>
      </c>
      <c r="F30" s="658">
        <f>PV(F27,F28,F26,-(F23-F24))</f>
        <v>64.704311265032601</v>
      </c>
      <c r="G30" s="202"/>
      <c r="H30" s="600" t="s">
        <v>256</v>
      </c>
      <c r="I30" s="658">
        <f>PV(I27,I28,I26,-(I23-I24))</f>
        <v>64.704311265032601</v>
      </c>
      <c r="J30" s="202"/>
      <c r="K30" s="600" t="s">
        <v>256</v>
      </c>
      <c r="L30" s="658">
        <f>PV(L27,L28,L26,-(L23-L24))</f>
        <v>64.704311265032601</v>
      </c>
      <c r="M30" s="202"/>
      <c r="N30" s="600" t="s">
        <v>256</v>
      </c>
      <c r="O30" s="658">
        <f>PV(O27,O28,O26,-(O23-O24))</f>
        <v>64.704311265032601</v>
      </c>
      <c r="P30" s="202"/>
    </row>
    <row r="31" spans="1:16" ht="24" customHeight="1" thickBot="1" x14ac:dyDescent="0.35">
      <c r="A31" s="201"/>
      <c r="B31" s="600" t="s">
        <v>257</v>
      </c>
      <c r="C31" s="659">
        <f>PMT(C27,C28,C25,-(C23-C24))</f>
        <v>11.905978828572302</v>
      </c>
      <c r="D31" s="202"/>
      <c r="E31" s="600" t="s">
        <v>257</v>
      </c>
      <c r="F31" s="659">
        <f>PMT(F27,F28,F25,-(F23-F24))</f>
        <v>11.905978828572302</v>
      </c>
      <c r="G31" s="202"/>
      <c r="H31" s="600" t="s">
        <v>257</v>
      </c>
      <c r="I31" s="659">
        <f>PMT(I27,I28,I25,-(I23-I24))</f>
        <v>11.905978828572302</v>
      </c>
      <c r="J31" s="202"/>
      <c r="K31" s="600" t="s">
        <v>257</v>
      </c>
      <c r="L31" s="659">
        <f>PMT(L27,L28,L25,-(L23-L24))</f>
        <v>11.905978828572302</v>
      </c>
      <c r="M31" s="202"/>
      <c r="N31" s="600" t="s">
        <v>257</v>
      </c>
      <c r="O31" s="659">
        <f>PMT(O27,O28,O25,-(O23-O24))</f>
        <v>11.905978828572302</v>
      </c>
      <c r="P31" s="202"/>
    </row>
    <row r="32" spans="1:16" ht="24" customHeight="1" thickBot="1" x14ac:dyDescent="0.35">
      <c r="A32" s="201"/>
      <c r="B32" s="601" t="s">
        <v>258</v>
      </c>
      <c r="C32" s="660">
        <f>C31/12</f>
        <v>0.99216490238102517</v>
      </c>
      <c r="D32" s="202"/>
      <c r="E32" s="601" t="s">
        <v>258</v>
      </c>
      <c r="F32" s="660">
        <f>F31/12</f>
        <v>0.99216490238102517</v>
      </c>
      <c r="G32" s="202"/>
      <c r="H32" s="601" t="s">
        <v>258</v>
      </c>
      <c r="I32" s="660">
        <f>I31/12</f>
        <v>0.99216490238102517</v>
      </c>
      <c r="J32" s="202"/>
      <c r="K32" s="601" t="s">
        <v>258</v>
      </c>
      <c r="L32" s="660">
        <f>L31/12</f>
        <v>0.99216490238102517</v>
      </c>
      <c r="M32" s="202"/>
      <c r="N32" s="601" t="s">
        <v>258</v>
      </c>
      <c r="O32" s="660">
        <f>O31/12</f>
        <v>0.99216490238102517</v>
      </c>
      <c r="P32" s="202"/>
    </row>
    <row r="33" spans="2:15" thickBot="1" x14ac:dyDescent="0.35">
      <c r="B33" s="248"/>
      <c r="C33" s="248"/>
      <c r="E33" s="248"/>
      <c r="F33" s="248"/>
      <c r="H33" s="248"/>
      <c r="I33" s="248"/>
      <c r="K33" s="248"/>
      <c r="L33" s="248"/>
      <c r="N33" s="248"/>
      <c r="O33" s="248"/>
    </row>
  </sheetData>
  <mergeCells count="5">
    <mergeCell ref="B4:C4"/>
    <mergeCell ref="E4:F4"/>
    <mergeCell ref="H4:I4"/>
    <mergeCell ref="K4:L4"/>
    <mergeCell ref="N4:O4"/>
  </mergeCells>
  <phoneticPr fontId="6" type="noConversion"/>
  <dataValidations count="1">
    <dataValidation type="list" allowBlank="1" showInputMessage="1" sqref="B19 E19 H19 K19 N19" xr:uid="{1496F744-4358-442F-B1B7-FDA05BAD1137}">
      <formula1>"子女教育金,購屋頭期款,購／換車,退休金,遺贈規劃,創業基金,　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E199-DC03-42E6-BE45-463AD13C0971}">
  <dimension ref="A1:H35"/>
  <sheetViews>
    <sheetView showGridLines="0" zoomScaleNormal="100" workbookViewId="0">
      <selection activeCell="F5" sqref="F5"/>
    </sheetView>
  </sheetViews>
  <sheetFormatPr defaultRowHeight="15.6" x14ac:dyDescent="0.3"/>
  <cols>
    <col min="1" max="1" width="1.9140625" style="213" customWidth="1"/>
    <col min="2" max="2" width="3.58203125" style="213" customWidth="1"/>
    <col min="3" max="3" width="37.1640625" style="213" customWidth="1"/>
    <col min="4" max="4" width="23.08203125" style="213" customWidth="1"/>
    <col min="5" max="5" width="9.1640625" style="213" customWidth="1"/>
    <col min="6" max="7" width="9" style="213" bestFit="1" customWidth="1"/>
    <col min="8" max="16384" width="8.6640625" style="213"/>
  </cols>
  <sheetData>
    <row r="1" spans="1:7" ht="27" customHeight="1" x14ac:dyDescent="0.3">
      <c r="A1" s="502" t="s">
        <v>188</v>
      </c>
      <c r="B1" s="502"/>
      <c r="C1" s="502"/>
      <c r="D1" s="502"/>
    </row>
    <row r="2" spans="1:7" ht="21" customHeight="1" x14ac:dyDescent="0.3"/>
    <row r="3" spans="1:7" ht="21" customHeight="1" x14ac:dyDescent="0.3">
      <c r="B3" s="221" t="s">
        <v>189</v>
      </c>
      <c r="C3" s="246" t="s">
        <v>190</v>
      </c>
      <c r="D3" s="503">
        <v>30</v>
      </c>
    </row>
    <row r="4" spans="1:7" ht="21" customHeight="1" x14ac:dyDescent="0.3">
      <c r="B4" s="221" t="s">
        <v>191</v>
      </c>
      <c r="C4" s="246" t="s">
        <v>347</v>
      </c>
      <c r="D4" s="503">
        <v>65</v>
      </c>
    </row>
    <row r="5" spans="1:7" ht="21" customHeight="1" x14ac:dyDescent="0.3">
      <c r="B5" s="223" t="s">
        <v>364</v>
      </c>
      <c r="C5" s="247" t="s">
        <v>192</v>
      </c>
      <c r="D5" s="504">
        <v>95</v>
      </c>
    </row>
    <row r="6" spans="1:7" ht="21.6" customHeight="1" x14ac:dyDescent="0.3">
      <c r="B6" s="214"/>
      <c r="C6" s="215"/>
      <c r="D6" s="216"/>
    </row>
    <row r="7" spans="1:7" ht="21.6" customHeight="1" x14ac:dyDescent="0.3">
      <c r="B7" s="214"/>
      <c r="C7" s="682" t="str">
        <f>"預計 "&amp;D4-D3&amp;" 年後「退休開始」"</f>
        <v>預計 35 年後「退休開始」</v>
      </c>
      <c r="D7" s="218">
        <f>D4-D3</f>
        <v>35</v>
      </c>
    </row>
    <row r="8" spans="1:7" ht="21.6" customHeight="1" x14ac:dyDescent="0.3">
      <c r="B8" s="214"/>
      <c r="C8" s="217" t="str">
        <f>"退休後生活持續 "&amp;D5-D4&amp;" 年"</f>
        <v>退休後生活持續 30 年</v>
      </c>
      <c r="D8" s="218">
        <f>D5-D4</f>
        <v>30</v>
      </c>
    </row>
    <row r="9" spans="1:7" ht="24" customHeight="1" x14ac:dyDescent="0.3">
      <c r="B9" s="214"/>
      <c r="C9" s="682" t="str">
        <f>"有 "&amp;D9&amp;" 年時間準備退休金"</f>
        <v>有 35 年時間準備退休金</v>
      </c>
      <c r="D9" s="505">
        <f>D4-D3</f>
        <v>35</v>
      </c>
    </row>
    <row r="10" spans="1:7" ht="21" customHeight="1" x14ac:dyDescent="0.3">
      <c r="B10" s="214"/>
      <c r="C10" s="219"/>
      <c r="D10" s="220"/>
    </row>
    <row r="11" spans="1:7" ht="21" customHeight="1" x14ac:dyDescent="0.3">
      <c r="B11" s="245">
        <v>1</v>
      </c>
      <c r="C11" s="661" t="s">
        <v>348</v>
      </c>
      <c r="D11" s="506">
        <v>3</v>
      </c>
    </row>
    <row r="12" spans="1:7" ht="21" customHeight="1" x14ac:dyDescent="0.3">
      <c r="B12" s="221">
        <v>2</v>
      </c>
      <c r="C12" s="222" t="s">
        <v>201</v>
      </c>
      <c r="D12" s="507">
        <v>1.7000000000000001E-2</v>
      </c>
    </row>
    <row r="13" spans="1:7" ht="21" customHeight="1" x14ac:dyDescent="0.3">
      <c r="B13" s="221">
        <v>3</v>
      </c>
      <c r="C13" s="244" t="s">
        <v>307</v>
      </c>
      <c r="D13" s="508">
        <v>20</v>
      </c>
    </row>
    <row r="14" spans="1:7" ht="21" customHeight="1" x14ac:dyDescent="0.3">
      <c r="B14" s="221">
        <v>4</v>
      </c>
      <c r="C14" s="244" t="s">
        <v>308</v>
      </c>
      <c r="D14" s="509">
        <v>5000</v>
      </c>
    </row>
    <row r="15" spans="1:7" ht="21" customHeight="1" x14ac:dyDescent="0.3">
      <c r="B15" s="224">
        <v>5</v>
      </c>
      <c r="C15" s="225" t="s">
        <v>309</v>
      </c>
      <c r="D15" s="507">
        <v>7.0000000000000007E-2</v>
      </c>
      <c r="G15" s="473"/>
    </row>
    <row r="16" spans="1:7" ht="21" customHeight="1" x14ac:dyDescent="0.3">
      <c r="B16" s="226">
        <v>6</v>
      </c>
      <c r="C16" s="227" t="s">
        <v>193</v>
      </c>
      <c r="D16" s="510">
        <v>0.03</v>
      </c>
    </row>
    <row r="17" spans="2:8" ht="21" customHeight="1" x14ac:dyDescent="0.3">
      <c r="B17" s="221">
        <v>7</v>
      </c>
      <c r="C17" s="244" t="s">
        <v>310</v>
      </c>
      <c r="D17" s="511">
        <v>2.5</v>
      </c>
    </row>
    <row r="18" spans="2:8" ht="21" customHeight="1" x14ac:dyDescent="0.3">
      <c r="B18" s="221">
        <v>8</v>
      </c>
      <c r="C18" s="683" t="s">
        <v>362</v>
      </c>
      <c r="D18" s="679">
        <v>500</v>
      </c>
    </row>
    <row r="19" spans="2:8" ht="21" customHeight="1" x14ac:dyDescent="0.3">
      <c r="B19" s="223">
        <v>9</v>
      </c>
      <c r="C19" s="684" t="s">
        <v>363</v>
      </c>
      <c r="D19" s="680">
        <v>0</v>
      </c>
    </row>
    <row r="20" spans="2:8" ht="21" customHeight="1" x14ac:dyDescent="0.3">
      <c r="B20" s="215"/>
      <c r="C20" s="222"/>
      <c r="D20" s="222"/>
      <c r="F20" s="473"/>
    </row>
    <row r="21" spans="2:8" ht="21" customHeight="1" x14ac:dyDescent="0.3">
      <c r="B21" s="215"/>
      <c r="C21" s="228" t="s">
        <v>194</v>
      </c>
      <c r="D21" s="229">
        <f>FV(D12,D7,,-D11)</f>
        <v>5.4119603609489548</v>
      </c>
    </row>
    <row r="22" spans="2:8" ht="21" customHeight="1" x14ac:dyDescent="0.3">
      <c r="B22" s="215"/>
      <c r="C22" s="222" t="s">
        <v>195</v>
      </c>
      <c r="D22" s="229">
        <f xml:space="preserve">
IF(D16=D12,D8*(D21-D17)*12,
(D21-D17)*12/(D16-D12)*(1-((1+D12)/(1+D16))^D8)*(1+D16))</f>
        <v>877.25004763145682</v>
      </c>
      <c r="H22" s="662"/>
    </row>
    <row r="23" spans="2:8" ht="21" customHeight="1" x14ac:dyDescent="0.3">
      <c r="B23" s="215"/>
      <c r="C23" s="683" t="s">
        <v>359</v>
      </c>
      <c r="D23" s="519">
        <v>1000</v>
      </c>
      <c r="E23" s="230"/>
      <c r="H23" s="663"/>
    </row>
    <row r="24" spans="2:8" ht="21" customHeight="1" x14ac:dyDescent="0.3">
      <c r="B24" s="215"/>
      <c r="C24" s="683" t="s">
        <v>360</v>
      </c>
      <c r="D24" s="519">
        <v>1000</v>
      </c>
      <c r="H24" s="662"/>
    </row>
    <row r="25" spans="2:8" ht="22.2" customHeight="1" x14ac:dyDescent="0.3">
      <c r="B25" s="215"/>
      <c r="C25" s="683" t="s">
        <v>361</v>
      </c>
      <c r="D25" s="519">
        <v>1000</v>
      </c>
    </row>
    <row r="26" spans="2:8" x14ac:dyDescent="0.3">
      <c r="B26" s="231"/>
      <c r="C26" s="231"/>
      <c r="D26" s="231"/>
    </row>
    <row r="27" spans="2:8" ht="21" x14ac:dyDescent="0.3">
      <c r="B27" s="232"/>
      <c r="C27" s="233" t="s">
        <v>202</v>
      </c>
      <c r="D27" s="234">
        <f>SUM(D22:D26)</f>
        <v>3877.2500476314567</v>
      </c>
    </row>
    <row r="28" spans="2:8" ht="18.600000000000001" x14ac:dyDescent="0.3">
      <c r="B28" s="232"/>
      <c r="C28" s="235"/>
      <c r="D28" s="236"/>
    </row>
    <row r="29" spans="2:8" ht="18.600000000000001" x14ac:dyDescent="0.3">
      <c r="B29" s="237"/>
      <c r="C29" s="238" t="s">
        <v>196</v>
      </c>
      <c r="D29" s="512">
        <f>FV(D15,D9,-D14/10000*12,-D13)+D18+D19</f>
        <v>1542.9528998022029</v>
      </c>
    </row>
    <row r="30" spans="2:8" ht="18.600000000000001" x14ac:dyDescent="0.3">
      <c r="B30" s="664"/>
      <c r="C30" s="664" t="s">
        <v>197</v>
      </c>
      <c r="D30" s="665">
        <f>D27-D29</f>
        <v>2334.2971478292538</v>
      </c>
    </row>
    <row r="32" spans="2:8" ht="18.600000000000001" x14ac:dyDescent="0.3">
      <c r="B32" s="239"/>
      <c r="C32" s="240" t="s">
        <v>198</v>
      </c>
      <c r="D32" s="241">
        <f>IF(D30&lt;0,"超額準備，不須再投入",-PMT(D15,D9,,D30))</f>
        <v>16.886211376180196</v>
      </c>
    </row>
    <row r="33" spans="2:4" ht="18.600000000000001" x14ac:dyDescent="0.3">
      <c r="B33" s="239"/>
      <c r="C33" s="240" t="s">
        <v>199</v>
      </c>
      <c r="D33" s="241">
        <f>IF(D30&lt;0,"超額準備，不須再投入",D32/12)</f>
        <v>1.4071842813483497</v>
      </c>
    </row>
    <row r="34" spans="2:4" ht="18.600000000000001" x14ac:dyDescent="0.3">
      <c r="B34" s="239"/>
      <c r="C34" s="242" t="s">
        <v>200</v>
      </c>
      <c r="D34" s="241">
        <f>IF(D30&lt;0,"超額準備，不需再投入",-PV(D15,D9,,D30))</f>
        <v>218.63713129459003</v>
      </c>
    </row>
    <row r="35" spans="2:4" ht="18.600000000000001" x14ac:dyDescent="0.3">
      <c r="D35" s="243"/>
    </row>
  </sheetData>
  <phoneticPr fontId="6" type="noConversion"/>
  <conditionalFormatting sqref="D32:D34">
    <cfRule type="expression" dxfId="0" priority="1">
      <formula>$D$30&lt;0</formula>
    </cfRule>
  </conditionalFormatting>
  <printOptions horizontalCentered="1"/>
  <pageMargins left="0.39370078740157483" right="0.39370078740157483" top="0.78740157480314965" bottom="0.59055118110236227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10</vt:i4>
      </vt:variant>
    </vt:vector>
  </HeadingPairs>
  <TitlesOfParts>
    <vt:vector size="21" baseType="lpstr">
      <vt:lpstr>1.收支表</vt:lpstr>
      <vt:lpstr>2.資產負債表</vt:lpstr>
      <vt:lpstr>3.財務比例</vt:lpstr>
      <vt:lpstr>4.理財目標</vt:lpstr>
      <vt:lpstr>5.保險需求分析</vt:lpstr>
      <vt:lpstr>6.資產配置</vt:lpstr>
      <vt:lpstr>7.理財目標試算規劃</vt:lpstr>
      <vt:lpstr>子女教育試算</vt:lpstr>
      <vt:lpstr>購換屋試算</vt:lpstr>
      <vt:lpstr>財務計算器</vt:lpstr>
      <vt:lpstr>退休試算</vt:lpstr>
      <vt:lpstr>'3.財務比例'!Print_Area</vt:lpstr>
      <vt:lpstr>幼兒園</vt:lpstr>
      <vt:lpstr>安親班</vt:lpstr>
      <vt:lpstr>高中</vt:lpstr>
      <vt:lpstr>國小</vt:lpstr>
      <vt:lpstr>國中</vt:lpstr>
      <vt:lpstr>國內大學</vt:lpstr>
      <vt:lpstr>國內研究所</vt:lpstr>
      <vt:lpstr>國外大學</vt:lpstr>
      <vt:lpstr>國外研究所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黃正勳</dc:creator>
  <cp:lastModifiedBy>正勳 黃</cp:lastModifiedBy>
  <cp:lastPrinted>2022-12-02T08:38:36Z</cp:lastPrinted>
  <dcterms:created xsi:type="dcterms:W3CDTF">2022-06-24T03:02:53Z</dcterms:created>
  <dcterms:modified xsi:type="dcterms:W3CDTF">2022-12-02T08:41:11Z</dcterms:modified>
</cp:coreProperties>
</file>